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03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Caitlin.Champaco\Downloads\"/>
    </mc:Choice>
  </mc:AlternateContent>
  <xr:revisionPtr revIDLastSave="0" documentId="13_ncr:1_{500D6733-DE69-463B-BB12-21664D39EDC9}" xr6:coauthVersionLast="47" xr6:coauthVersionMax="47" xr10:uidLastSave="{00000000-0000-0000-0000-000000000000}"/>
  <bookViews>
    <workbookView xWindow="0" yWindow="0" windowWidth="28800" windowHeight="11505" tabRatio="934" xr2:uid="{00000000-000D-0000-FFFF-FFFF00000000}"/>
  </bookViews>
  <sheets>
    <sheet name="FY25Q4 DEH GF " sheetId="51" r:id="rId1"/>
    <sheet name="FY25Q4 DEH EHRF" sheetId="54" r:id="rId2"/>
    <sheet name="FY25Q4 DEH DSIRF" sheetId="58" r:id="rId3"/>
    <sheet name="FY25Q4 DEH ELC" sheetId="60" r:id="rId4"/>
    <sheet name="FY25Q3 DEH CCDF" sheetId="61" r:id="rId5"/>
  </sheets>
  <externalReferences>
    <externalReference r:id="rId6"/>
  </externalReferences>
  <definedNames>
    <definedName name="_xlnm.Print_Area" localSheetId="4">'FY25Q3 DEH CCDF'!$A$1:$T$46</definedName>
    <definedName name="_xlnm.Print_Area" localSheetId="2">'FY25Q4 DEH DSIRF'!$A$1:$T$46</definedName>
    <definedName name="_xlnm.Print_Area" localSheetId="1">'FY25Q4 DEH EHRF'!$A$1:$T$46</definedName>
    <definedName name="_xlnm.Print_Area" localSheetId="3">'FY25Q4 DEH ELC'!$A$1:$T$46</definedName>
    <definedName name="_xlnm.Print_Area" localSheetId="0">'FY25Q4 DEH GF '!$A$1:$T$46</definedName>
    <definedName name="Print_Area_MI">#REF!</definedName>
    <definedName name="Print_Titles_MI">#REF!</definedName>
    <definedName name="Run_Date">'[1]FY05 Requisitions'!#REF!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63" i="51" l="1"/>
  <c r="L62" i="51"/>
  <c r="K24" i="51"/>
  <c r="O24" i="51" s="1"/>
  <c r="M24" i="51"/>
  <c r="P24" i="51"/>
  <c r="Q24" i="51"/>
  <c r="R24" i="51"/>
  <c r="F16" i="61"/>
  <c r="L24" i="51" l="1"/>
  <c r="S24" i="51" s="1"/>
  <c r="T24" i="51" s="1"/>
  <c r="H23" i="51"/>
  <c r="K23" i="51" s="1"/>
  <c r="O23" i="51" s="1"/>
  <c r="M23" i="51"/>
  <c r="P23" i="51"/>
  <c r="Q23" i="51"/>
  <c r="R23" i="51"/>
  <c r="F80" i="61"/>
  <c r="G80" i="61"/>
  <c r="H80" i="61"/>
  <c r="I80" i="61"/>
  <c r="J80" i="61"/>
  <c r="K80" i="61"/>
  <c r="E80" i="61"/>
  <c r="B56" i="61"/>
  <c r="C56" i="61"/>
  <c r="D56" i="61"/>
  <c r="L56" i="61"/>
  <c r="B57" i="61"/>
  <c r="C57" i="61"/>
  <c r="D57" i="61"/>
  <c r="L57" i="61"/>
  <c r="B58" i="61"/>
  <c r="C58" i="61"/>
  <c r="D58" i="61"/>
  <c r="L58" i="61"/>
  <c r="L55" i="61"/>
  <c r="L80" i="61" s="1"/>
  <c r="D55" i="61"/>
  <c r="C55" i="61"/>
  <c r="B55" i="61"/>
  <c r="J19" i="61"/>
  <c r="J18" i="61"/>
  <c r="P19" i="61"/>
  <c r="P18" i="61"/>
  <c r="P17" i="61"/>
  <c r="P16" i="61"/>
  <c r="P41" i="61" s="1"/>
  <c r="P16" i="60"/>
  <c r="M19" i="61"/>
  <c r="M18" i="61"/>
  <c r="M17" i="61"/>
  <c r="M16" i="61"/>
  <c r="M17" i="60"/>
  <c r="N41" i="61"/>
  <c r="J41" i="61"/>
  <c r="G41" i="61"/>
  <c r="H41" i="61"/>
  <c r="F80" i="60"/>
  <c r="G80" i="60"/>
  <c r="H80" i="60"/>
  <c r="I80" i="60"/>
  <c r="J80" i="60"/>
  <c r="K80" i="60"/>
  <c r="E80" i="60"/>
  <c r="B56" i="60"/>
  <c r="C56" i="60"/>
  <c r="D56" i="60"/>
  <c r="L56" i="60"/>
  <c r="B57" i="60"/>
  <c r="C57" i="60"/>
  <c r="D57" i="60"/>
  <c r="L57" i="60"/>
  <c r="B58" i="60"/>
  <c r="C58" i="60"/>
  <c r="D58" i="60"/>
  <c r="L58" i="60"/>
  <c r="L55" i="60"/>
  <c r="L80" i="60" s="1"/>
  <c r="D55" i="60"/>
  <c r="C55" i="60"/>
  <c r="B55" i="60"/>
  <c r="R19" i="60"/>
  <c r="Q19" i="60"/>
  <c r="P19" i="60"/>
  <c r="M19" i="60"/>
  <c r="J19" i="60"/>
  <c r="F19" i="60"/>
  <c r="K19" i="60"/>
  <c r="M22" i="51"/>
  <c r="M18" i="60"/>
  <c r="M16" i="60"/>
  <c r="M41" i="60" s="1"/>
  <c r="R18" i="60"/>
  <c r="Q18" i="60"/>
  <c r="P18" i="60"/>
  <c r="H18" i="60"/>
  <c r="F18" i="60"/>
  <c r="K18" i="60" s="1"/>
  <c r="R17" i="60"/>
  <c r="Q17" i="60"/>
  <c r="P17" i="60"/>
  <c r="P41" i="60" s="1"/>
  <c r="J17" i="60"/>
  <c r="F17" i="60"/>
  <c r="R16" i="60"/>
  <c r="Q16" i="60"/>
  <c r="J16" i="60"/>
  <c r="F16" i="60"/>
  <c r="N41" i="60"/>
  <c r="J41" i="60"/>
  <c r="G41" i="60"/>
  <c r="M17" i="58"/>
  <c r="M16" i="58"/>
  <c r="P16" i="54"/>
  <c r="L56" i="58"/>
  <c r="L55" i="58"/>
  <c r="D55" i="58"/>
  <c r="C55" i="58"/>
  <c r="B55" i="58"/>
  <c r="M41" i="58"/>
  <c r="N41" i="58"/>
  <c r="P41" i="58"/>
  <c r="Q41" i="58"/>
  <c r="R41" i="58"/>
  <c r="J41" i="58"/>
  <c r="G41" i="58"/>
  <c r="H41" i="58"/>
  <c r="F41" i="58"/>
  <c r="F80" i="54"/>
  <c r="G80" i="54"/>
  <c r="H80" i="54"/>
  <c r="I80" i="54"/>
  <c r="J80" i="54"/>
  <c r="K80" i="54"/>
  <c r="E80" i="54"/>
  <c r="B56" i="54"/>
  <c r="C56" i="54"/>
  <c r="D56" i="54"/>
  <c r="L56" i="54"/>
  <c r="B57" i="54"/>
  <c r="C57" i="54"/>
  <c r="D57" i="54"/>
  <c r="L57" i="54"/>
  <c r="B58" i="54"/>
  <c r="C58" i="54"/>
  <c r="D58" i="54"/>
  <c r="L58" i="54"/>
  <c r="B59" i="54"/>
  <c r="C59" i="54"/>
  <c r="D59" i="54"/>
  <c r="L59" i="54"/>
  <c r="B60" i="54"/>
  <c r="C60" i="54"/>
  <c r="D60" i="54"/>
  <c r="L60" i="54"/>
  <c r="B61" i="54"/>
  <c r="C61" i="54"/>
  <c r="D61" i="54"/>
  <c r="L61" i="54"/>
  <c r="B62" i="54"/>
  <c r="C62" i="54"/>
  <c r="D62" i="54"/>
  <c r="L62" i="54"/>
  <c r="B63" i="54"/>
  <c r="C63" i="54"/>
  <c r="D63" i="54"/>
  <c r="L63" i="54"/>
  <c r="B64" i="54"/>
  <c r="C64" i="54"/>
  <c r="D64" i="54"/>
  <c r="L64" i="54"/>
  <c r="B65" i="54"/>
  <c r="C65" i="54"/>
  <c r="D65" i="54"/>
  <c r="L65" i="54"/>
  <c r="B66" i="54"/>
  <c r="C66" i="54"/>
  <c r="D66" i="54"/>
  <c r="L66" i="54"/>
  <c r="B67" i="54"/>
  <c r="C67" i="54"/>
  <c r="D67" i="54"/>
  <c r="L67" i="54"/>
  <c r="B68" i="54"/>
  <c r="C68" i="54"/>
  <c r="D68" i="54"/>
  <c r="L68" i="54"/>
  <c r="B69" i="54"/>
  <c r="C69" i="54"/>
  <c r="D69" i="54"/>
  <c r="L69" i="54"/>
  <c r="B70" i="54"/>
  <c r="C70" i="54"/>
  <c r="D70" i="54"/>
  <c r="L70" i="54"/>
  <c r="L55" i="54"/>
  <c r="L80" i="54" s="1"/>
  <c r="D55" i="54"/>
  <c r="C55" i="54"/>
  <c r="B55" i="54"/>
  <c r="N41" i="54"/>
  <c r="G41" i="54"/>
  <c r="R30" i="54"/>
  <c r="Q30" i="54"/>
  <c r="Q21" i="54"/>
  <c r="P30" i="54"/>
  <c r="P29" i="54"/>
  <c r="P21" i="54"/>
  <c r="M30" i="54"/>
  <c r="M29" i="54"/>
  <c r="M21" i="54"/>
  <c r="F30" i="54"/>
  <c r="F29" i="54"/>
  <c r="F21" i="54"/>
  <c r="Q20" i="54"/>
  <c r="P20" i="54"/>
  <c r="M20" i="54"/>
  <c r="J20" i="54"/>
  <c r="F20" i="54"/>
  <c r="F19" i="54"/>
  <c r="F16" i="54"/>
  <c r="R20" i="54"/>
  <c r="P19" i="54"/>
  <c r="M19" i="54"/>
  <c r="R19" i="54"/>
  <c r="Q19" i="54"/>
  <c r="Q16" i="54"/>
  <c r="K17" i="60" l="1"/>
  <c r="Q41" i="60"/>
  <c r="R41" i="60"/>
  <c r="M41" i="61"/>
  <c r="L23" i="51"/>
  <c r="S23" i="51" s="1"/>
  <c r="T23" i="51" s="1"/>
  <c r="F41" i="60"/>
  <c r="O19" i="60"/>
  <c r="L19" i="60"/>
  <c r="O18" i="60"/>
  <c r="L18" i="60"/>
  <c r="S18" i="60" s="1"/>
  <c r="T18" i="60" s="1"/>
  <c r="O17" i="60"/>
  <c r="L17" i="60"/>
  <c r="S17" i="60" s="1"/>
  <c r="T17" i="60" s="1"/>
  <c r="H16" i="60"/>
  <c r="P18" i="54"/>
  <c r="P41" i="54" s="1"/>
  <c r="M18" i="54"/>
  <c r="J18" i="54"/>
  <c r="J16" i="54"/>
  <c r="J41" i="54" s="1"/>
  <c r="M16" i="54"/>
  <c r="M41" i="54" s="1"/>
  <c r="P22" i="51"/>
  <c r="A56" i="51"/>
  <c r="A57" i="51" s="1"/>
  <c r="A58" i="51" s="1"/>
  <c r="A59" i="51" s="1"/>
  <c r="A60" i="51" s="1"/>
  <c r="A61" i="51" s="1"/>
  <c r="A62" i="51" s="1"/>
  <c r="A63" i="51" s="1"/>
  <c r="A64" i="51" s="1"/>
  <c r="A65" i="51" s="1"/>
  <c r="A66" i="51" s="1"/>
  <c r="A67" i="51" s="1"/>
  <c r="A68" i="51" s="1"/>
  <c r="A69" i="51" s="1"/>
  <c r="A70" i="51" s="1"/>
  <c r="A71" i="51" s="1"/>
  <c r="A72" i="51" s="1"/>
  <c r="A73" i="51" s="1"/>
  <c r="A74" i="51" s="1"/>
  <c r="A75" i="51" s="1"/>
  <c r="A76" i="51" s="1"/>
  <c r="A77" i="51" s="1"/>
  <c r="A78" i="51" s="1"/>
  <c r="A79" i="51" s="1"/>
  <c r="B56" i="51"/>
  <c r="C56" i="51"/>
  <c r="D56" i="51"/>
  <c r="L56" i="51"/>
  <c r="B57" i="51"/>
  <c r="C57" i="51"/>
  <c r="D57" i="51"/>
  <c r="L57" i="51"/>
  <c r="B58" i="51"/>
  <c r="C58" i="51"/>
  <c r="D58" i="51"/>
  <c r="L58" i="51"/>
  <c r="B59" i="51"/>
  <c r="C59" i="51"/>
  <c r="D59" i="51"/>
  <c r="L59" i="51"/>
  <c r="B60" i="51"/>
  <c r="C60" i="51"/>
  <c r="D60" i="51"/>
  <c r="L60" i="51"/>
  <c r="B61" i="51"/>
  <c r="C61" i="51"/>
  <c r="D61" i="51"/>
  <c r="L61" i="51"/>
  <c r="L55" i="51"/>
  <c r="D55" i="51"/>
  <c r="C55" i="51"/>
  <c r="B55" i="51"/>
  <c r="A17" i="51"/>
  <c r="A18" i="51" s="1"/>
  <c r="A19" i="51" s="1"/>
  <c r="A20" i="51" s="1"/>
  <c r="A21" i="51" s="1"/>
  <c r="A22" i="51" s="1"/>
  <c r="A23" i="51" s="1"/>
  <c r="A24" i="51" s="1"/>
  <c r="A25" i="51" s="1"/>
  <c r="A26" i="51" s="1"/>
  <c r="A27" i="51" s="1"/>
  <c r="A28" i="51" s="1"/>
  <c r="A29" i="51" s="1"/>
  <c r="A30" i="51" s="1"/>
  <c r="A31" i="51" s="1"/>
  <c r="A32" i="51" s="1"/>
  <c r="A33" i="51" s="1"/>
  <c r="A34" i="51" s="1"/>
  <c r="A35" i="51" s="1"/>
  <c r="A36" i="51" s="1"/>
  <c r="A37" i="51" s="1"/>
  <c r="A38" i="51" s="1"/>
  <c r="A39" i="51" s="1"/>
  <c r="A40" i="51" s="1"/>
  <c r="M18" i="51"/>
  <c r="M19" i="51"/>
  <c r="M20" i="51"/>
  <c r="M21" i="51"/>
  <c r="M17" i="51"/>
  <c r="M16" i="51"/>
  <c r="K80" i="58"/>
  <c r="J80" i="58"/>
  <c r="I80" i="58"/>
  <c r="H80" i="58"/>
  <c r="G80" i="58"/>
  <c r="F80" i="58"/>
  <c r="E80" i="58"/>
  <c r="S19" i="60" l="1"/>
  <c r="T19" i="60" s="1"/>
  <c r="H41" i="60"/>
  <c r="K16" i="60"/>
  <c r="R22" i="51"/>
  <c r="Q22" i="51"/>
  <c r="R19" i="61"/>
  <c r="Q19" i="61"/>
  <c r="Q18" i="61"/>
  <c r="R17" i="61"/>
  <c r="Q17" i="61"/>
  <c r="F19" i="61"/>
  <c r="K19" i="61" s="1"/>
  <c r="F18" i="61"/>
  <c r="K18" i="61" s="1"/>
  <c r="F17" i="61"/>
  <c r="K17" i="61" l="1"/>
  <c r="F41" i="61"/>
  <c r="Q41" i="61"/>
  <c r="R41" i="61"/>
  <c r="O16" i="60"/>
  <c r="O41" i="60" s="1"/>
  <c r="L16" i="60"/>
  <c r="K41" i="60"/>
  <c r="O18" i="61"/>
  <c r="L18" i="61"/>
  <c r="O19" i="61"/>
  <c r="L19" i="61"/>
  <c r="S19" i="61" s="1"/>
  <c r="T19" i="61" s="1"/>
  <c r="O17" i="61" l="1"/>
  <c r="L17" i="61"/>
  <c r="S18" i="61"/>
  <c r="T18" i="61" s="1"/>
  <c r="S16" i="60"/>
  <c r="L41" i="60"/>
  <c r="S17" i="61" l="1"/>
  <c r="T17" i="61" s="1"/>
  <c r="S41" i="60"/>
  <c r="T16" i="60"/>
  <c r="T41" i="60" s="1"/>
  <c r="R18" i="54"/>
  <c r="Q18" i="54"/>
  <c r="Q41" i="54" s="1"/>
  <c r="R16" i="54"/>
  <c r="R41" i="54" s="1"/>
  <c r="F18" i="54"/>
  <c r="F41" i="54" s="1"/>
  <c r="F22" i="51" l="1"/>
  <c r="A56" i="61" l="1"/>
  <c r="A57" i="61" s="1"/>
  <c r="A58" i="61" s="1"/>
  <c r="A59" i="61" s="1"/>
  <c r="A60" i="61" s="1"/>
  <c r="A61" i="61" s="1"/>
  <c r="A62" i="61" s="1"/>
  <c r="A63" i="61" s="1"/>
  <c r="A64" i="61" s="1"/>
  <c r="A65" i="61" s="1"/>
  <c r="A66" i="61" s="1"/>
  <c r="A67" i="61" s="1"/>
  <c r="A68" i="61" s="1"/>
  <c r="A69" i="61" s="1"/>
  <c r="A70" i="61" s="1"/>
  <c r="A71" i="61" s="1"/>
  <c r="A72" i="61" s="1"/>
  <c r="A73" i="61" s="1"/>
  <c r="A74" i="61" s="1"/>
  <c r="A75" i="61" s="1"/>
  <c r="A76" i="61" s="1"/>
  <c r="A77" i="61" s="1"/>
  <c r="A78" i="61" s="1"/>
  <c r="A79" i="61" s="1"/>
  <c r="A17" i="61"/>
  <c r="A18" i="61" s="1"/>
  <c r="A19" i="61" s="1"/>
  <c r="A20" i="61" s="1"/>
  <c r="A21" i="61" s="1"/>
  <c r="A22" i="61" s="1"/>
  <c r="A23" i="61" s="1"/>
  <c r="A24" i="61" s="1"/>
  <c r="A25" i="61" s="1"/>
  <c r="A26" i="61" s="1"/>
  <c r="A27" i="61" s="1"/>
  <c r="A28" i="61" s="1"/>
  <c r="A29" i="61" s="1"/>
  <c r="A30" i="61" s="1"/>
  <c r="A31" i="61" s="1"/>
  <c r="A32" i="61" s="1"/>
  <c r="A33" i="61" s="1"/>
  <c r="A34" i="61" s="1"/>
  <c r="A35" i="61" s="1"/>
  <c r="A36" i="61" s="1"/>
  <c r="A37" i="61" s="1"/>
  <c r="A38" i="61" s="1"/>
  <c r="A39" i="61" s="1"/>
  <c r="A40" i="61" s="1"/>
  <c r="K16" i="61"/>
  <c r="K41" i="61" s="1"/>
  <c r="A56" i="60"/>
  <c r="A57" i="60" s="1"/>
  <c r="A58" i="60" s="1"/>
  <c r="A59" i="60" s="1"/>
  <c r="A60" i="60" s="1"/>
  <c r="A61" i="60" s="1"/>
  <c r="A62" i="60" s="1"/>
  <c r="A63" i="60" s="1"/>
  <c r="A64" i="60" s="1"/>
  <c r="A65" i="60" s="1"/>
  <c r="A66" i="60" s="1"/>
  <c r="A67" i="60" s="1"/>
  <c r="A68" i="60" s="1"/>
  <c r="A69" i="60" s="1"/>
  <c r="A70" i="60" s="1"/>
  <c r="A71" i="60" s="1"/>
  <c r="A72" i="60" s="1"/>
  <c r="A17" i="60"/>
  <c r="A18" i="60" s="1"/>
  <c r="A19" i="60" s="1"/>
  <c r="A20" i="60" s="1"/>
  <c r="A21" i="60" s="1"/>
  <c r="A22" i="60" s="1"/>
  <c r="A23" i="60" s="1"/>
  <c r="A24" i="60" s="1"/>
  <c r="A25" i="60" s="1"/>
  <c r="A26" i="60" s="1"/>
  <c r="A27" i="60" s="1"/>
  <c r="A28" i="60" s="1"/>
  <c r="A29" i="60" s="1"/>
  <c r="A30" i="60" s="1"/>
  <c r="A31" i="60" s="1"/>
  <c r="A32" i="60" s="1"/>
  <c r="A33" i="60" s="1"/>
  <c r="A34" i="60" s="1"/>
  <c r="A35" i="60" s="1"/>
  <c r="A36" i="60" s="1"/>
  <c r="A37" i="60" s="1"/>
  <c r="A38" i="60" s="1"/>
  <c r="A39" i="60" s="1"/>
  <c r="A40" i="60" s="1"/>
  <c r="O16" i="61" l="1"/>
  <c r="O41" i="61" s="1"/>
  <c r="L16" i="61"/>
  <c r="L41" i="61" s="1"/>
  <c r="K16" i="58"/>
  <c r="A56" i="58"/>
  <c r="A57" i="58" s="1"/>
  <c r="A58" i="58" s="1"/>
  <c r="A59" i="58" s="1"/>
  <c r="A60" i="58" s="1"/>
  <c r="A61" i="58" s="1"/>
  <c r="A62" i="58" s="1"/>
  <c r="A63" i="58" s="1"/>
  <c r="A64" i="58" s="1"/>
  <c r="A65" i="58" s="1"/>
  <c r="A66" i="58" s="1"/>
  <c r="A67" i="58" s="1"/>
  <c r="A68" i="58" s="1"/>
  <c r="A69" i="58" s="1"/>
  <c r="A70" i="58" s="1"/>
  <c r="A71" i="58" s="1"/>
  <c r="A72" i="58" s="1"/>
  <c r="A73" i="58" s="1"/>
  <c r="A74" i="58" s="1"/>
  <c r="A75" i="58" s="1"/>
  <c r="A76" i="58" s="1"/>
  <c r="A77" i="58" s="1"/>
  <c r="A78" i="58" s="1"/>
  <c r="A79" i="58" s="1"/>
  <c r="L80" i="58"/>
  <c r="K17" i="58"/>
  <c r="K41" i="58" s="1"/>
  <c r="A17" i="58"/>
  <c r="A18" i="58" s="1"/>
  <c r="A19" i="58" s="1"/>
  <c r="A20" i="58" s="1"/>
  <c r="A21" i="58" s="1"/>
  <c r="A22" i="58" s="1"/>
  <c r="A23" i="58" s="1"/>
  <c r="A24" i="58" s="1"/>
  <c r="A25" i="58" s="1"/>
  <c r="A26" i="58" s="1"/>
  <c r="A27" i="58" s="1"/>
  <c r="A28" i="58" s="1"/>
  <c r="A29" i="58" s="1"/>
  <c r="A30" i="58" s="1"/>
  <c r="A31" i="58" s="1"/>
  <c r="A32" i="58" s="1"/>
  <c r="A33" i="58" s="1"/>
  <c r="A34" i="58" s="1"/>
  <c r="A35" i="58" s="1"/>
  <c r="A36" i="58" s="1"/>
  <c r="A37" i="58" s="1"/>
  <c r="A38" i="58" s="1"/>
  <c r="A39" i="58" s="1"/>
  <c r="A40" i="58" s="1"/>
  <c r="S16" i="61" l="1"/>
  <c r="O16" i="58"/>
  <c r="L16" i="58"/>
  <c r="L17" i="58"/>
  <c r="O17" i="58"/>
  <c r="O41" i="58" s="1"/>
  <c r="L41" i="58" l="1"/>
  <c r="S17" i="58"/>
  <c r="T17" i="58" s="1"/>
  <c r="T16" i="61"/>
  <c r="T41" i="61" s="1"/>
  <c r="S41" i="61"/>
  <c r="S16" i="58"/>
  <c r="S41" i="58" l="1"/>
  <c r="T16" i="58"/>
  <c r="T41" i="58"/>
  <c r="H16" i="54" l="1"/>
  <c r="H41" i="54" s="1"/>
  <c r="K18" i="54"/>
  <c r="L18" i="54" s="1"/>
  <c r="K19" i="54"/>
  <c r="K21" i="54"/>
  <c r="K22" i="54"/>
  <c r="K23" i="54"/>
  <c r="K24" i="54"/>
  <c r="L24" i="54" s="1"/>
  <c r="K25" i="54"/>
  <c r="L25" i="54" s="1"/>
  <c r="K26" i="54"/>
  <c r="K27" i="54"/>
  <c r="L27" i="54" s="1"/>
  <c r="K20" i="54"/>
  <c r="L22" i="54"/>
  <c r="K30" i="54"/>
  <c r="K29" i="54"/>
  <c r="O29" i="54" s="1"/>
  <c r="K28" i="54"/>
  <c r="A56" i="54"/>
  <c r="A57" i="54" s="1"/>
  <c r="A58" i="54" s="1"/>
  <c r="A59" i="54" s="1"/>
  <c r="A60" i="54" s="1"/>
  <c r="A61" i="54" s="1"/>
  <c r="A62" i="54" s="1"/>
  <c r="A63" i="54" s="1"/>
  <c r="A64" i="54" s="1"/>
  <c r="A65" i="54" s="1"/>
  <c r="A66" i="54" s="1"/>
  <c r="A67" i="54" s="1"/>
  <c r="A68" i="54" s="1"/>
  <c r="A69" i="54" s="1"/>
  <c r="A70" i="54" s="1"/>
  <c r="A71" i="54" s="1"/>
  <c r="A72" i="54" s="1"/>
  <c r="A73" i="54" s="1"/>
  <c r="A74" i="54" s="1"/>
  <c r="A75" i="54" s="1"/>
  <c r="A76" i="54" s="1"/>
  <c r="A77" i="54" s="1"/>
  <c r="A78" i="54" s="1"/>
  <c r="A79" i="54" s="1"/>
  <c r="A17" i="54"/>
  <c r="A18" i="54" s="1"/>
  <c r="A19" i="54" s="1"/>
  <c r="A20" i="54" s="1"/>
  <c r="A21" i="54" s="1"/>
  <c r="A22" i="54" s="1"/>
  <c r="A23" i="54" s="1"/>
  <c r="A24" i="54" s="1"/>
  <c r="A25" i="54" s="1"/>
  <c r="A26" i="54" s="1"/>
  <c r="A27" i="54" s="1"/>
  <c r="A28" i="54" s="1"/>
  <c r="A29" i="54" s="1"/>
  <c r="A30" i="54" s="1"/>
  <c r="A31" i="54" s="1"/>
  <c r="A32" i="54" s="1"/>
  <c r="A33" i="54" s="1"/>
  <c r="L21" i="54" l="1"/>
  <c r="L20" i="54"/>
  <c r="K16" i="54"/>
  <c r="L19" i="54"/>
  <c r="K31" i="54"/>
  <c r="L30" i="54"/>
  <c r="O30" i="54"/>
  <c r="L29" i="54"/>
  <c r="S29" i="54" s="1"/>
  <c r="T29" i="54" s="1"/>
  <c r="L28" i="54"/>
  <c r="O28" i="54"/>
  <c r="L23" i="54"/>
  <c r="L26" i="54"/>
  <c r="K17" i="54"/>
  <c r="L17" i="54" s="1"/>
  <c r="O21" i="54"/>
  <c r="O27" i="54"/>
  <c r="S27" i="54" s="1"/>
  <c r="T27" i="54" s="1"/>
  <c r="O19" i="54"/>
  <c r="O22" i="54"/>
  <c r="O18" i="54"/>
  <c r="O23" i="54"/>
  <c r="O24" i="54"/>
  <c r="S24" i="54" s="1"/>
  <c r="T24" i="54" s="1"/>
  <c r="O20" i="54"/>
  <c r="O26" i="54"/>
  <c r="O25" i="54"/>
  <c r="S25" i="54" s="1"/>
  <c r="T25" i="54" s="1"/>
  <c r="J41" i="51"/>
  <c r="L16" i="54" l="1"/>
  <c r="K41" i="54"/>
  <c r="S21" i="54"/>
  <c r="T21" i="54" s="1"/>
  <c r="S20" i="54"/>
  <c r="T20" i="54" s="1"/>
  <c r="S19" i="54"/>
  <c r="T19" i="54" s="1"/>
  <c r="O17" i="54"/>
  <c r="S17" i="54" s="1"/>
  <c r="T17" i="54" s="1"/>
  <c r="O31" i="54"/>
  <c r="L31" i="54"/>
  <c r="L41" i="54" s="1"/>
  <c r="S30" i="54"/>
  <c r="T30" i="54" s="1"/>
  <c r="S28" i="54"/>
  <c r="T28" i="54" s="1"/>
  <c r="O16" i="54"/>
  <c r="O41" i="54" s="1"/>
  <c r="S16" i="54"/>
  <c r="S22" i="54"/>
  <c r="T22" i="54" s="1"/>
  <c r="S18" i="54"/>
  <c r="T18" i="54" s="1"/>
  <c r="S23" i="54"/>
  <c r="T23" i="54" s="1"/>
  <c r="S26" i="54"/>
  <c r="T26" i="54" s="1"/>
  <c r="S31" i="54" l="1"/>
  <c r="T31" i="54" s="1"/>
  <c r="T16" i="54"/>
  <c r="R41" i="51"/>
  <c r="Q41" i="51"/>
  <c r="P41" i="51"/>
  <c r="N41" i="51"/>
  <c r="G41" i="51"/>
  <c r="F41" i="51"/>
  <c r="M41" i="51"/>
  <c r="T41" i="54" l="1"/>
  <c r="S41" i="54"/>
  <c r="K80" i="51"/>
  <c r="J80" i="51"/>
  <c r="I80" i="51"/>
  <c r="H80" i="51"/>
  <c r="G80" i="51"/>
  <c r="F80" i="51"/>
  <c r="E80" i="51"/>
  <c r="H22" i="51"/>
  <c r="K22" i="51" s="1"/>
  <c r="H21" i="51"/>
  <c r="K21" i="51" s="1"/>
  <c r="H20" i="51"/>
  <c r="K20" i="51" s="1"/>
  <c r="H19" i="51"/>
  <c r="K19" i="51" s="1"/>
  <c r="H18" i="51"/>
  <c r="K18" i="51" s="1"/>
  <c r="H17" i="51"/>
  <c r="K17" i="51" s="1"/>
  <c r="H16" i="51"/>
  <c r="K16" i="51" l="1"/>
  <c r="K41" i="51" s="1"/>
  <c r="H41" i="51"/>
  <c r="O17" i="51"/>
  <c r="L17" i="51"/>
  <c r="S17" i="51" s="1"/>
  <c r="T17" i="51" s="1"/>
  <c r="O18" i="51"/>
  <c r="L18" i="51"/>
  <c r="O19" i="51"/>
  <c r="L19" i="51"/>
  <c r="S19" i="51" s="1"/>
  <c r="T19" i="51" s="1"/>
  <c r="O20" i="51"/>
  <c r="L20" i="51"/>
  <c r="S20" i="51" s="1"/>
  <c r="T20" i="51" s="1"/>
  <c r="O21" i="51"/>
  <c r="L21" i="51"/>
  <c r="L22" i="51"/>
  <c r="O22" i="51"/>
  <c r="L80" i="51"/>
  <c r="S21" i="51" l="1"/>
  <c r="T21" i="51" s="1"/>
  <c r="S18" i="51"/>
  <c r="T18" i="51" s="1"/>
  <c r="S22" i="51"/>
  <c r="T22" i="51" s="1"/>
  <c r="L16" i="51"/>
  <c r="O16" i="51"/>
  <c r="O41" i="51" s="1"/>
  <c r="L41" i="51" l="1"/>
  <c r="S16" i="51"/>
  <c r="T16" i="51" s="1"/>
  <c r="T41" i="51" s="1"/>
  <c r="S41" i="51" l="1"/>
</calcChain>
</file>

<file path=xl/sharedStrings.xml><?xml version="1.0" encoding="utf-8"?>
<sst xmlns="http://schemas.openxmlformats.org/spreadsheetml/2006/main" count="856" uniqueCount="181">
  <si>
    <t xml:space="preserve"> </t>
  </si>
  <si>
    <t>FUNCTIONAL AREA:</t>
  </si>
  <si>
    <t>PUBLIC HEALTH</t>
  </si>
  <si>
    <t>DEPARTMENT/AGENCY:</t>
  </si>
  <si>
    <t>PUBLIC HEALTH &amp; SOCIAL SERVICES - DIVISION OF ENVIRONMENTAL HEALTH</t>
  </si>
  <si>
    <t>PROGRAM:</t>
  </si>
  <si>
    <t>DIVISION OF ENVIRONMENTAL HEALTH</t>
  </si>
  <si>
    <t>FUND:</t>
  </si>
  <si>
    <t>GENERAL</t>
  </si>
  <si>
    <t>6111001 | 6113001-100-25-1740001</t>
  </si>
  <si>
    <t>Input by Department</t>
  </si>
  <si>
    <t>( A )</t>
  </si>
  <si>
    <t>( B )</t>
  </si>
  <si>
    <t>( C )</t>
  </si>
  <si>
    <t>( D )</t>
  </si>
  <si>
    <t>( E )</t>
  </si>
  <si>
    <t>( F )</t>
  </si>
  <si>
    <t>( G )</t>
  </si>
  <si>
    <t>( H )</t>
  </si>
  <si>
    <t>( I )</t>
  </si>
  <si>
    <t>( J )</t>
  </si>
  <si>
    <t>( K )</t>
  </si>
  <si>
    <t>( L )</t>
  </si>
  <si>
    <t>( M )</t>
  </si>
  <si>
    <t>( N )</t>
  </si>
  <si>
    <t>( O )</t>
  </si>
  <si>
    <t>( P )</t>
  </si>
  <si>
    <t>( Q )</t>
  </si>
  <si>
    <t>( R )</t>
  </si>
  <si>
    <t>(S)</t>
  </si>
  <si>
    <t>Increment</t>
  </si>
  <si>
    <t xml:space="preserve">              Benefits</t>
  </si>
  <si>
    <t>Position</t>
  </si>
  <si>
    <t>Name of</t>
  </si>
  <si>
    <t>Grade/</t>
  </si>
  <si>
    <t>( E+F+G+I )</t>
  </si>
  <si>
    <t xml:space="preserve">Retirement </t>
  </si>
  <si>
    <t>Retire (DDI)</t>
  </si>
  <si>
    <t>Social Security</t>
  </si>
  <si>
    <t>Medicare</t>
  </si>
  <si>
    <t>Life</t>
  </si>
  <si>
    <t>Medical</t>
  </si>
  <si>
    <t>Dental</t>
  </si>
  <si>
    <t>Total Benefits</t>
  </si>
  <si>
    <t>( J + R )</t>
  </si>
  <si>
    <t>No.</t>
  </si>
  <si>
    <t>Number</t>
  </si>
  <si>
    <t>Title  1/</t>
  </si>
  <si>
    <t>Incumbent</t>
  </si>
  <si>
    <t>Step</t>
  </si>
  <si>
    <t>Salary</t>
  </si>
  <si>
    <t>Overtime</t>
  </si>
  <si>
    <t>Special*</t>
  </si>
  <si>
    <t>Date</t>
  </si>
  <si>
    <t>Amt.</t>
  </si>
  <si>
    <t>Subtotal</t>
  </si>
  <si>
    <t>(J * 30.77%)  2/</t>
  </si>
  <si>
    <t>($19.01*26PP) 3/</t>
  </si>
  <si>
    <t>(6.2% * J)</t>
  </si>
  <si>
    <t>(1.45% * J)</t>
  </si>
  <si>
    <t>4/</t>
  </si>
  <si>
    <t>( Premium)</t>
  </si>
  <si>
    <t>( K thru Q )</t>
  </si>
  <si>
    <t>TOTAL</t>
  </si>
  <si>
    <t>Env. Public Health Officer III</t>
  </si>
  <si>
    <t>Duenas, Katherine B. (11/27/2006)</t>
  </si>
  <si>
    <t>NX-10</t>
  </si>
  <si>
    <t>Customer Service Rep.</t>
  </si>
  <si>
    <t>Castro, Mary M.  (06/2/2022)</t>
  </si>
  <si>
    <t>HX-03</t>
  </si>
  <si>
    <t>Customer Service Rep. Supr.</t>
  </si>
  <si>
    <t>Figir, Esther A.  (07/19/2021)</t>
  </si>
  <si>
    <t>JX-04</t>
  </si>
  <si>
    <t>Administrative Assistant</t>
  </si>
  <si>
    <t>Barcinas, Terry T. (02/28/2005)</t>
  </si>
  <si>
    <t>JX-14</t>
  </si>
  <si>
    <t>Lujan, Michico J. (10/31/2022)</t>
  </si>
  <si>
    <t>HX-06</t>
  </si>
  <si>
    <t>Env. Public Health Officer I</t>
  </si>
  <si>
    <t>Untalan, Samuel (12/21/2022)</t>
  </si>
  <si>
    <t>LX-03</t>
  </si>
  <si>
    <t>Environmental Tech II</t>
  </si>
  <si>
    <r>
      <t>Lujan, Emorin</t>
    </r>
    <r>
      <rPr>
        <b/>
        <sz val="7"/>
        <rFont val="Times New Roman"/>
        <family val="1"/>
      </rPr>
      <t xml:space="preserve"> (50%) (10/30/2024)</t>
    </r>
  </si>
  <si>
    <t>IX-01</t>
  </si>
  <si>
    <t>Program Coordinator IV</t>
  </si>
  <si>
    <t>Carlos, Heidi (06/30/25)</t>
  </si>
  <si>
    <t>OX-02</t>
  </si>
  <si>
    <t>Management Analyst IV</t>
  </si>
  <si>
    <t>Llagas, Maria P. (09/22/25)</t>
  </si>
  <si>
    <t>OX-01</t>
  </si>
  <si>
    <t>Grand Total:</t>
  </si>
  <si>
    <t>----</t>
  </si>
  <si>
    <t>* Night Differential / Hazardous / Worker's Compensation / etc.</t>
  </si>
  <si>
    <t>1/  Indicate "(LTA)" or "(Temp.)" next to Position Title (where applicable).</t>
  </si>
  <si>
    <t>2/  FY 2025 GovGuam contribution rate of 30.77% for the Government of Guam Retirement is subject to change.</t>
  </si>
  <si>
    <t>3/  FY 2025 GovGuam contribution rate of $19.01 (bi-weekly) for DDI is subject to change.</t>
  </si>
  <si>
    <t>4/  FY 2025 GovGuam contribution rate of $187 (per annum) for Life Insurance is subject to change.</t>
  </si>
  <si>
    <t>Special Pay Categories</t>
  </si>
  <si>
    <t>1/</t>
  </si>
  <si>
    <t>2/</t>
  </si>
  <si>
    <t>3/</t>
  </si>
  <si>
    <t>5/</t>
  </si>
  <si>
    <t>6/</t>
  </si>
  <si>
    <t xml:space="preserve">Holiday </t>
  </si>
  <si>
    <t>Night Differential</t>
  </si>
  <si>
    <t>Nurse Sunday</t>
  </si>
  <si>
    <t xml:space="preserve">Nurse </t>
  </si>
  <si>
    <t>EMT</t>
  </si>
  <si>
    <t>Pay</t>
  </si>
  <si>
    <t>Hazard</t>
  </si>
  <si>
    <t>( D+E+F+G+H+I+J )</t>
  </si>
  <si>
    <t>Title</t>
  </si>
  <si>
    <t>10%</t>
  </si>
  <si>
    <t>8%</t>
  </si>
  <si>
    <t>1.5</t>
  </si>
  <si>
    <t>15%</t>
  </si>
  <si>
    <t>10% of reg. rate, applicable from 6pm-6am, employee must work 4 hours consecutive after 6pm for entitlement of the pay</t>
  </si>
  <si>
    <t>Applies to law enforcement personnel</t>
  </si>
  <si>
    <t>Applies to solid waste employees</t>
  </si>
  <si>
    <t>1 ½ of reg. rate of pay from 12am Friday to 12 midnight Sunday</t>
  </si>
  <si>
    <t>1 ½ of reg. rate of pay on daily work exceeding 8 hours</t>
  </si>
  <si>
    <t>Applicable only to GFD ambulatory service personnel. 15% of reg. rate of pay</t>
  </si>
  <si>
    <t>Environmental Health Revolving Fund (EHRF)</t>
  </si>
  <si>
    <t>6111001 | 6113001-600-25-1740201</t>
  </si>
  <si>
    <t>Chief Env. Public Health Officer</t>
  </si>
  <si>
    <r>
      <t xml:space="preserve">Nadeau, Masatomo T. </t>
    </r>
    <r>
      <rPr>
        <b/>
        <sz val="7"/>
        <color indexed="8"/>
        <rFont val="Times New Roman"/>
        <family val="1"/>
      </rPr>
      <t>(72%) (06/01/1992)</t>
    </r>
  </si>
  <si>
    <t>SX-11</t>
  </si>
  <si>
    <t>Env. Public Health Officer Admin.</t>
  </si>
  <si>
    <t>Navarro, Leilani L. (10/01/2014)</t>
  </si>
  <si>
    <t>RX-02</t>
  </si>
  <si>
    <t>Env. Public Health Officer I (KPP III)</t>
  </si>
  <si>
    <r>
      <t xml:space="preserve">Maglaque, Aisleabesh </t>
    </r>
    <r>
      <rPr>
        <b/>
        <sz val="7"/>
        <color indexed="8"/>
        <rFont val="Times New Roman"/>
        <family val="1"/>
      </rPr>
      <t>(62%) (09/09/2024)</t>
    </r>
  </si>
  <si>
    <t>LX-01</t>
  </si>
  <si>
    <t>Aninzo, Carl (75%) (09/10/2024)</t>
  </si>
  <si>
    <r>
      <t xml:space="preserve">Tirador, Niel I. </t>
    </r>
    <r>
      <rPr>
        <b/>
        <sz val="7"/>
        <rFont val="Times New Roman"/>
        <family val="1"/>
      </rPr>
      <t xml:space="preserve"> (16%)</t>
    </r>
    <r>
      <rPr>
        <b/>
        <sz val="8"/>
        <rFont val="Times New Roman"/>
        <family val="1"/>
      </rPr>
      <t xml:space="preserve"> (08/28/2019)</t>
    </r>
  </si>
  <si>
    <t>LX-04</t>
  </si>
  <si>
    <t>Eata, Ervin R.  (75%) (02/05/2024)</t>
  </si>
  <si>
    <t>LX-02</t>
  </si>
  <si>
    <t>Environmental Technician II</t>
  </si>
  <si>
    <t>Tainatongo, Donny (09/23/2024)</t>
  </si>
  <si>
    <t>Velasco, Carmina (04/22/2024)</t>
  </si>
  <si>
    <t>HX-02</t>
  </si>
  <si>
    <t>Cepeda, Marie T.C. (10/15/2018)</t>
  </si>
  <si>
    <t>HX-10</t>
  </si>
  <si>
    <t>Mafnas, Deborah L. (04/20/1998)</t>
  </si>
  <si>
    <t>Alarcon, Maria Cecilia V.  (03/20/2020)</t>
  </si>
  <si>
    <t>JX-10</t>
  </si>
  <si>
    <t>DEH24-04</t>
  </si>
  <si>
    <t>Environmental Technician Aide</t>
  </si>
  <si>
    <t>Quidachay, Georgette (12/16/2024)</t>
  </si>
  <si>
    <t>EX-01</t>
  </si>
  <si>
    <t>DEH24-03</t>
  </si>
  <si>
    <t>Paulino, Donna  (01/13/25)</t>
  </si>
  <si>
    <t>EX-06</t>
  </si>
  <si>
    <t>Siliang, Raymond (75%) (02/17/25)</t>
  </si>
  <si>
    <t>Cruz, Bailey (75%) (02/10/25)</t>
  </si>
  <si>
    <t>DEH24-02</t>
  </si>
  <si>
    <r>
      <rPr>
        <b/>
        <sz val="8"/>
        <color rgb="FF000000"/>
        <rFont val="Times New Roman"/>
        <family val="1"/>
      </rPr>
      <t>Program Coordinator II</t>
    </r>
    <r>
      <rPr>
        <b/>
        <sz val="9"/>
        <color rgb="FF000000"/>
        <rFont val="Times New Roman"/>
        <family val="1"/>
      </rPr>
      <t xml:space="preserve"> (in leiu of E. Tech II)</t>
    </r>
  </si>
  <si>
    <t>Rosario, Ronna (02/17/25)  TA</t>
  </si>
  <si>
    <t>MX-01</t>
  </si>
  <si>
    <t>DPHSS SANITARY INSPECTION REVOLVING FUND (DSIRF)</t>
  </si>
  <si>
    <t>6111001 | 6113001-638-25-1740210</t>
  </si>
  <si>
    <t>Tumaneng, Jodi A.I. (11/27/2020)</t>
  </si>
  <si>
    <t>LX-05</t>
  </si>
  <si>
    <t>Administrative Officer</t>
  </si>
  <si>
    <t>Suva, Remy ( 07/14/2025)</t>
  </si>
  <si>
    <t>LX-08</t>
  </si>
  <si>
    <t>GUAM EPIDEMIOLOGY &amp; LABORATORY CAPACITY GRANT</t>
  </si>
  <si>
    <t>FEDERAL</t>
  </si>
  <si>
    <t>5101H231713SE121</t>
  </si>
  <si>
    <t>Nadeau, Masatomo T. (28%) (06/01/1992)</t>
  </si>
  <si>
    <t>Tirador, Niel I. (84%)  (08/28/2019)</t>
  </si>
  <si>
    <t>Env. Technician II</t>
  </si>
  <si>
    <t>Lujan, Emorin (50%) (10/30/2024)</t>
  </si>
  <si>
    <t>Maglaque, Aisleabesh (38%) (09/09/2024)</t>
  </si>
  <si>
    <t>DEH &amp; DPW (BUREAU OF MANAGEMENT SUPPORT - CHILD CARE DEVELOPMENT FUND)</t>
  </si>
  <si>
    <t>5101H211732EI107</t>
  </si>
  <si>
    <t>Siliang, Raymond (25%) (02/17/25)</t>
  </si>
  <si>
    <t>Cruz, Bailey (25%) (02/10/25)</t>
  </si>
  <si>
    <t>Eata, Ervin R. (25%) (02/05/2024)</t>
  </si>
  <si>
    <t>Aninzo, Carl (25%) (09/10/2024)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</si>
</sst>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\$* #,##0.00_);_(\$* \(#,##0.00\);_(\$* \-??_);_(@_)"/>
    <numFmt numFmtId="165" formatCode="#.00"/>
    <numFmt numFmtId="166" formatCode="0_);\(0\)"/>
    <numFmt numFmtId="167" formatCode="&quot;$&quot;#,##0"/>
  </numFmts>
  <fonts count="46">
    <font>
      <sz val="12"/>
      <name val="SWISS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indexed="8"/>
      <name val="SWISS"/>
    </font>
    <font>
      <sz val="8"/>
      <color indexed="8"/>
      <name val="SWISS"/>
    </font>
    <font>
      <b/>
      <sz val="8"/>
      <color indexed="8"/>
      <name val="Times New Roman"/>
      <family val="1"/>
    </font>
    <font>
      <sz val="8"/>
      <name val="SWISS"/>
    </font>
    <font>
      <sz val="8"/>
      <name val="Times New Roman"/>
      <family val="1"/>
    </font>
    <font>
      <b/>
      <sz val="10"/>
      <color indexed="8"/>
      <name val="Times New Roman"/>
      <family val="1"/>
    </font>
    <font>
      <b/>
      <sz val="8"/>
      <name val="Times New Roman"/>
      <family val="1"/>
    </font>
    <font>
      <b/>
      <sz val="12"/>
      <color indexed="8"/>
      <name val="Times New Roman"/>
      <family val="1"/>
    </font>
    <font>
      <b/>
      <sz val="7"/>
      <color indexed="8"/>
      <name val="Times New Roman"/>
      <family val="1"/>
    </font>
    <font>
      <sz val="10"/>
      <name val="Arial"/>
      <family val="2"/>
    </font>
    <font>
      <sz val="12"/>
      <name val="SWISS"/>
    </font>
    <font>
      <sz val="12"/>
      <name val="Arial"/>
      <family val="2"/>
    </font>
    <font>
      <sz val="10"/>
      <name val="Arial"/>
      <family val="2"/>
    </font>
    <font>
      <u/>
      <sz val="12"/>
      <color theme="10"/>
      <name val="SWISS"/>
    </font>
    <font>
      <u/>
      <sz val="12"/>
      <color theme="11"/>
      <name val="SWISS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"/>
      <color indexed="8"/>
      <name val="Courier"/>
      <family val="3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"/>
      <color indexed="8"/>
      <name val="Courier"/>
      <family val="3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2"/>
      <name val="Helv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2"/>
      <name val="Arial"/>
      <family val="2"/>
    </font>
    <font>
      <b/>
      <sz val="8"/>
      <color theme="1"/>
      <name val="Times New Roman"/>
      <family val="1"/>
    </font>
    <font>
      <b/>
      <sz val="8"/>
      <color rgb="FF000000"/>
      <name val="Times New Roman"/>
      <family val="1"/>
    </font>
    <font>
      <sz val="9"/>
      <color indexed="8"/>
      <name val="Arial"/>
      <family val="2"/>
    </font>
    <font>
      <b/>
      <sz val="7"/>
      <name val="Times New Roman"/>
      <family val="1"/>
    </font>
    <font>
      <b/>
      <sz val="10"/>
      <name val="Times New Roman"/>
      <family val="1"/>
    </font>
    <font>
      <b/>
      <sz val="9"/>
      <color rgb="FF000000"/>
      <name val="Times New Roman"/>
      <family val="1"/>
    </font>
    <font>
      <sz val="12"/>
      <color rgb="FF000000"/>
      <name val="Calibri"/>
      <family val="2"/>
    </font>
  </fonts>
  <fills count="30">
    <fill>
      <patternFill patternType="none"/>
    </fill>
    <fill>
      <patternFill patternType="gray125"/>
    </fill>
    <fill>
      <patternFill patternType="lightGray">
        <bgColor indexed="9"/>
      </patternFill>
    </fill>
    <fill>
      <patternFill patternType="solid">
        <fgColor indexed="9"/>
        <bgColor indexed="64"/>
      </patternFill>
    </fill>
    <fill>
      <patternFill patternType="gray0625">
        <bgColor indexed="9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6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63"/>
      </bottom>
      <diagonal/>
    </border>
    <border>
      <left style="thick">
        <color indexed="8"/>
      </left>
      <right/>
      <top/>
      <bottom/>
      <diagonal/>
    </border>
    <border>
      <left style="thick">
        <color indexed="8"/>
      </left>
      <right style="thin">
        <color indexed="8"/>
      </right>
      <top style="thin">
        <color indexed="8"/>
      </top>
      <bottom/>
      <diagonal/>
    </border>
    <border>
      <left style="thick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/>
      <right style="thin">
        <color indexed="8"/>
      </right>
      <top style="thin">
        <color indexed="8"/>
      </top>
      <bottom style="thick">
        <color indexed="8"/>
      </bottom>
      <diagonal/>
    </border>
    <border>
      <left/>
      <right style="thick"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 style="thick">
        <color indexed="8"/>
      </left>
      <right/>
      <top/>
      <bottom style="thin">
        <color indexed="8"/>
      </bottom>
      <diagonal/>
    </border>
    <border>
      <left style="thick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 style="thin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/>
      <top style="thick">
        <color indexed="8"/>
      </top>
      <bottom style="thick">
        <color indexed="8"/>
      </bottom>
      <diagonal/>
    </border>
    <border>
      <left/>
      <right/>
      <top style="thick">
        <color indexed="8"/>
      </top>
      <bottom style="thick">
        <color indexed="8"/>
      </bottom>
      <diagonal/>
    </border>
    <border>
      <left/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 style="thick">
        <color indexed="8"/>
      </bottom>
      <diagonal/>
    </border>
    <border>
      <left/>
      <right style="thick">
        <color indexed="8"/>
      </right>
      <top/>
      <bottom style="thin">
        <color indexed="8"/>
      </bottom>
      <diagonal/>
    </border>
    <border>
      <left/>
      <right style="thick">
        <color auto="1"/>
      </right>
      <top style="thick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ck">
        <color indexed="8"/>
      </right>
      <top style="thin">
        <color indexed="8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/>
      <right/>
      <top style="thick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61">
    <xf numFmtId="37" fontId="0" fillId="0" borderId="0"/>
    <xf numFmtId="43" fontId="13" fillId="0" borderId="0" applyFont="0" applyFill="0" applyBorder="0" applyAlignment="0" applyProtection="0"/>
    <xf numFmtId="0" fontId="2" fillId="0" borderId="0"/>
    <xf numFmtId="37" fontId="13" fillId="0" borderId="0"/>
    <xf numFmtId="0" fontId="15" fillId="0" borderId="0"/>
    <xf numFmtId="37" fontId="16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6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6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6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6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6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6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6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6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6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6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6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6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6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6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6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6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6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6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6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6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6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6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6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6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6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6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6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6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6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6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6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6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6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6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6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6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6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6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6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6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0" fontId="14" fillId="0" borderId="0"/>
    <xf numFmtId="43" fontId="12" fillId="0" borderId="0" applyFont="0" applyFill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24" borderId="0" applyNumberFormat="0" applyBorder="0" applyAlignment="0" applyProtection="0"/>
    <xf numFmtId="0" fontId="20" fillId="8" borderId="0" applyNumberFormat="0" applyBorder="0" applyAlignment="0" applyProtection="0"/>
    <xf numFmtId="0" fontId="21" fillId="25" borderId="35" applyNumberFormat="0" applyAlignment="0" applyProtection="0"/>
    <xf numFmtId="0" fontId="22" fillId="26" borderId="36" applyNumberFormat="0" applyAlignment="0" applyProtection="0"/>
    <xf numFmtId="164" fontId="14" fillId="0" borderId="0" applyFill="0" applyBorder="0" applyAlignment="0" applyProtection="0"/>
    <xf numFmtId="0" fontId="23" fillId="0" borderId="0">
      <protection locked="0"/>
    </xf>
    <xf numFmtId="0" fontId="24" fillId="0" borderId="0" applyNumberFormat="0" applyFill="0" applyBorder="0" applyAlignment="0" applyProtection="0"/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165" fontId="23" fillId="0" borderId="0">
      <protection locked="0"/>
    </xf>
    <xf numFmtId="0" fontId="25" fillId="9" borderId="0" applyNumberFormat="0" applyBorder="0" applyAlignment="0" applyProtection="0"/>
    <xf numFmtId="0" fontId="26" fillId="0" borderId="37" applyNumberFormat="0" applyFill="0" applyAlignment="0" applyProtection="0"/>
    <xf numFmtId="0" fontId="27" fillId="0" borderId="38" applyNumberFormat="0" applyFill="0" applyAlignment="0" applyProtection="0"/>
    <xf numFmtId="0" fontId="28" fillId="0" borderId="39" applyNumberFormat="0" applyFill="0" applyAlignment="0" applyProtection="0"/>
    <xf numFmtId="0" fontId="28" fillId="0" borderId="0" applyNumberFormat="0" applyFill="0" applyBorder="0" applyAlignment="0" applyProtection="0"/>
    <xf numFmtId="0" fontId="29" fillId="0" borderId="0">
      <protection locked="0"/>
    </xf>
    <xf numFmtId="0" fontId="29" fillId="0" borderId="0">
      <protection locked="0"/>
    </xf>
    <xf numFmtId="0" fontId="30" fillId="12" borderId="35" applyNumberFormat="0" applyAlignment="0" applyProtection="0"/>
    <xf numFmtId="0" fontId="31" fillId="0" borderId="40" applyNumberFormat="0" applyFill="0" applyAlignment="0" applyProtection="0"/>
    <xf numFmtId="0" fontId="32" fillId="27" borderId="0" applyNumberFormat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37" fontId="33" fillId="0" borderId="0"/>
    <xf numFmtId="0" fontId="14" fillId="0" borderId="0"/>
    <xf numFmtId="0" fontId="14" fillId="0" borderId="0"/>
    <xf numFmtId="0" fontId="14" fillId="0" borderId="0"/>
    <xf numFmtId="0" fontId="18" fillId="0" borderId="0"/>
    <xf numFmtId="0" fontId="14" fillId="0" borderId="0"/>
    <xf numFmtId="0" fontId="14" fillId="28" borderId="41" applyNumberFormat="0" applyFont="0" applyAlignment="0" applyProtection="0"/>
    <xf numFmtId="0" fontId="34" fillId="25" borderId="42" applyNumberFormat="0" applyAlignment="0" applyProtection="0"/>
    <xf numFmtId="9" fontId="12" fillId="0" borderId="0" applyFont="0" applyFill="0" applyBorder="0" applyAlignment="0" applyProtection="0"/>
    <xf numFmtId="9" fontId="14" fillId="0" borderId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43" applyNumberFormat="0" applyFill="0" applyAlignment="0" applyProtection="0"/>
    <xf numFmtId="0" fontId="37" fillId="0" borderId="0" applyNumberFormat="0" applyFill="0" applyBorder="0" applyAlignment="0" applyProtection="0"/>
    <xf numFmtId="0" fontId="38" fillId="0" borderId="0"/>
    <xf numFmtId="0" fontId="1" fillId="0" borderId="0"/>
    <xf numFmtId="0" fontId="18" fillId="0" borderId="0"/>
    <xf numFmtId="37" fontId="33" fillId="0" borderId="0"/>
    <xf numFmtId="44" fontId="13" fillId="0" borderId="0" applyFont="0" applyFill="0" applyBorder="0" applyAlignment="0" applyProtection="0"/>
    <xf numFmtId="37" fontId="13" fillId="0" borderId="0"/>
    <xf numFmtId="37" fontId="13" fillId="0" borderId="0"/>
  </cellStyleXfs>
  <cellXfs count="229">
    <xf numFmtId="37" fontId="0" fillId="0" borderId="0" xfId="0"/>
    <xf numFmtId="37" fontId="3" fillId="0" borderId="0" xfId="0" applyFont="1"/>
    <xf numFmtId="37" fontId="4" fillId="0" borderId="0" xfId="0" applyFont="1"/>
    <xf numFmtId="37" fontId="5" fillId="0" borderId="0" xfId="0" applyFont="1"/>
    <xf numFmtId="37" fontId="5" fillId="0" borderId="0" xfId="0" quotePrefix="1" applyFont="1" applyAlignment="1">
      <alignment horizontal="center"/>
    </xf>
    <xf numFmtId="37" fontId="5" fillId="0" borderId="0" xfId="0" applyFont="1" applyAlignment="1">
      <alignment horizontal="center"/>
    </xf>
    <xf numFmtId="37" fontId="5" fillId="0" borderId="1" xfId="0" applyFont="1" applyBorder="1" applyAlignment="1">
      <alignment horizontal="center"/>
    </xf>
    <xf numFmtId="37" fontId="5" fillId="0" borderId="1" xfId="0" applyFont="1" applyBorder="1"/>
    <xf numFmtId="14" fontId="5" fillId="0" borderId="1" xfId="0" applyNumberFormat="1" applyFont="1" applyBorder="1" applyAlignment="1">
      <alignment horizontal="center"/>
    </xf>
    <xf numFmtId="37" fontId="6" fillId="0" borderId="0" xfId="0" applyFont="1"/>
    <xf numFmtId="5" fontId="5" fillId="0" borderId="1" xfId="0" applyNumberFormat="1" applyFont="1" applyBorder="1"/>
    <xf numFmtId="37" fontId="5" fillId="0" borderId="2" xfId="0" applyFont="1" applyBorder="1" applyAlignment="1">
      <alignment horizontal="center"/>
    </xf>
    <xf numFmtId="10" fontId="5" fillId="2" borderId="1" xfId="0" quotePrefix="1" applyNumberFormat="1" applyFont="1" applyFill="1" applyBorder="1" applyAlignment="1">
      <alignment horizontal="center"/>
    </xf>
    <xf numFmtId="37" fontId="5" fillId="2" borderId="1" xfId="0" quotePrefix="1" applyFont="1" applyFill="1" applyBorder="1" applyAlignment="1">
      <alignment horizontal="center"/>
    </xf>
    <xf numFmtId="37" fontId="5" fillId="2" borderId="1" xfId="0" applyFont="1" applyFill="1" applyBorder="1"/>
    <xf numFmtId="37" fontId="5" fillId="0" borderId="1" xfId="0" applyFont="1" applyBorder="1" applyAlignment="1">
      <alignment horizontal="right"/>
    </xf>
    <xf numFmtId="5" fontId="5" fillId="0" borderId="1" xfId="0" applyNumberFormat="1" applyFont="1" applyBorder="1" applyAlignment="1">
      <alignment horizontal="right"/>
    </xf>
    <xf numFmtId="37" fontId="8" fillId="0" borderId="0" xfId="0" applyFont="1"/>
    <xf numFmtId="37" fontId="9" fillId="0" borderId="0" xfId="0" applyFont="1" applyAlignment="1">
      <alignment horizontal="center"/>
    </xf>
    <xf numFmtId="37" fontId="10" fillId="0" borderId="0" xfId="0" applyFont="1"/>
    <xf numFmtId="37" fontId="5" fillId="3" borderId="3" xfId="0" applyFont="1" applyFill="1" applyBorder="1" applyAlignment="1">
      <alignment horizontal="center"/>
    </xf>
    <xf numFmtId="37" fontId="5" fillId="3" borderId="4" xfId="0" applyFont="1" applyFill="1" applyBorder="1" applyAlignment="1">
      <alignment horizontal="center"/>
    </xf>
    <xf numFmtId="37" fontId="5" fillId="3" borderId="5" xfId="0" applyFont="1" applyFill="1" applyBorder="1" applyAlignment="1">
      <alignment horizontal="center"/>
    </xf>
    <xf numFmtId="37" fontId="5" fillId="3" borderId="6" xfId="0" applyFont="1" applyFill="1" applyBorder="1" applyAlignment="1">
      <alignment horizontal="center"/>
    </xf>
    <xf numFmtId="37" fontId="5" fillId="3" borderId="7" xfId="0" applyFont="1" applyFill="1" applyBorder="1" applyAlignment="1">
      <alignment horizontal="center"/>
    </xf>
    <xf numFmtId="37" fontId="5" fillId="3" borderId="0" xfId="0" applyFont="1" applyFill="1" applyAlignment="1">
      <alignment horizontal="center"/>
    </xf>
    <xf numFmtId="37" fontId="5" fillId="3" borderId="8" xfId="0" applyFont="1" applyFill="1" applyBorder="1" applyAlignment="1">
      <alignment horizontal="center"/>
    </xf>
    <xf numFmtId="37" fontId="5" fillId="3" borderId="9" xfId="0" applyFont="1" applyFill="1" applyBorder="1" applyAlignment="1">
      <alignment horizontal="center"/>
    </xf>
    <xf numFmtId="37" fontId="5" fillId="3" borderId="10" xfId="0" applyFont="1" applyFill="1" applyBorder="1" applyAlignment="1">
      <alignment horizontal="center"/>
    </xf>
    <xf numFmtId="5" fontId="5" fillId="0" borderId="10" xfId="0" applyNumberFormat="1" applyFont="1" applyBorder="1"/>
    <xf numFmtId="39" fontId="5" fillId="3" borderId="9" xfId="0" applyNumberFormat="1" applyFont="1" applyFill="1" applyBorder="1" applyAlignment="1">
      <alignment horizontal="center"/>
    </xf>
    <xf numFmtId="37" fontId="5" fillId="3" borderId="11" xfId="0" applyFont="1" applyFill="1" applyBorder="1" applyAlignment="1">
      <alignment horizontal="center"/>
    </xf>
    <xf numFmtId="37" fontId="5" fillId="0" borderId="12" xfId="0" quotePrefix="1" applyFont="1" applyBorder="1" applyAlignment="1">
      <alignment horizontal="center"/>
    </xf>
    <xf numFmtId="37" fontId="5" fillId="0" borderId="10" xfId="0" applyFont="1" applyBorder="1"/>
    <xf numFmtId="37" fontId="5" fillId="0" borderId="13" xfId="0" quotePrefix="1" applyFont="1" applyBorder="1" applyAlignment="1">
      <alignment horizontal="center"/>
    </xf>
    <xf numFmtId="37" fontId="5" fillId="4" borderId="14" xfId="0" applyFont="1" applyFill="1" applyBorder="1" applyAlignment="1">
      <alignment horizontal="center"/>
    </xf>
    <xf numFmtId="37" fontId="5" fillId="4" borderId="4" xfId="0" applyFont="1" applyFill="1" applyBorder="1" applyAlignment="1">
      <alignment horizontal="center"/>
    </xf>
    <xf numFmtId="37" fontId="5" fillId="4" borderId="15" xfId="0" applyFont="1" applyFill="1" applyBorder="1" applyAlignment="1">
      <alignment horizontal="center"/>
    </xf>
    <xf numFmtId="37" fontId="5" fillId="4" borderId="16" xfId="0" applyFont="1" applyFill="1" applyBorder="1" applyAlignment="1">
      <alignment horizontal="center"/>
    </xf>
    <xf numFmtId="37" fontId="5" fillId="4" borderId="17" xfId="0" applyFont="1" applyFill="1" applyBorder="1" applyAlignment="1">
      <alignment horizontal="center"/>
    </xf>
    <xf numFmtId="37" fontId="5" fillId="4" borderId="18" xfId="0" applyFont="1" applyFill="1" applyBorder="1" applyAlignment="1">
      <alignment horizontal="center"/>
    </xf>
    <xf numFmtId="37" fontId="5" fillId="4" borderId="19" xfId="0" applyFont="1" applyFill="1" applyBorder="1" applyAlignment="1">
      <alignment horizontal="center"/>
    </xf>
    <xf numFmtId="37" fontId="5" fillId="0" borderId="20" xfId="0" applyFont="1" applyBorder="1"/>
    <xf numFmtId="37" fontId="5" fillId="0" borderId="13" xfId="0" applyFont="1" applyBorder="1"/>
    <xf numFmtId="37" fontId="5" fillId="4" borderId="17" xfId="0" quotePrefix="1" applyFont="1" applyFill="1" applyBorder="1" applyAlignment="1">
      <alignment horizontal="center"/>
    </xf>
    <xf numFmtId="37" fontId="5" fillId="0" borderId="21" xfId="0" quotePrefix="1" applyFont="1" applyBorder="1" applyAlignment="1">
      <alignment horizontal="center"/>
    </xf>
    <xf numFmtId="37" fontId="5" fillId="0" borderId="22" xfId="0" quotePrefix="1" applyFont="1" applyBorder="1" applyAlignment="1">
      <alignment horizontal="center"/>
    </xf>
    <xf numFmtId="37" fontId="5" fillId="4" borderId="23" xfId="0" applyFont="1" applyFill="1" applyBorder="1" applyAlignment="1">
      <alignment horizontal="center"/>
    </xf>
    <xf numFmtId="37" fontId="5" fillId="4" borderId="24" xfId="0" applyFont="1" applyFill="1" applyBorder="1" applyAlignment="1">
      <alignment horizontal="center"/>
    </xf>
    <xf numFmtId="37" fontId="5" fillId="4" borderId="20" xfId="0" applyFont="1" applyFill="1" applyBorder="1" applyAlignment="1">
      <alignment horizontal="center"/>
    </xf>
    <xf numFmtId="37" fontId="5" fillId="4" borderId="25" xfId="0" quotePrefix="1" applyFont="1" applyFill="1" applyBorder="1" applyAlignment="1">
      <alignment horizontal="center"/>
    </xf>
    <xf numFmtId="49" fontId="5" fillId="0" borderId="10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37" fontId="3" fillId="0" borderId="0" xfId="0" applyFont="1" applyAlignment="1">
      <alignment horizontal="center"/>
    </xf>
    <xf numFmtId="37" fontId="5" fillId="4" borderId="0" xfId="0" applyFont="1" applyFill="1"/>
    <xf numFmtId="37" fontId="5" fillId="5" borderId="26" xfId="0" applyFont="1" applyFill="1" applyBorder="1" applyAlignment="1">
      <alignment horizontal="centerContinuous"/>
    </xf>
    <xf numFmtId="37" fontId="5" fillId="5" borderId="27" xfId="0" applyFont="1" applyFill="1" applyBorder="1" applyAlignment="1">
      <alignment horizontal="centerContinuous"/>
    </xf>
    <xf numFmtId="37" fontId="5" fillId="5" borderId="28" xfId="0" applyFont="1" applyFill="1" applyBorder="1" applyAlignment="1">
      <alignment horizontal="centerContinuous"/>
    </xf>
    <xf numFmtId="37" fontId="11" fillId="4" borderId="29" xfId="0" applyFont="1" applyFill="1" applyBorder="1" applyAlignment="1">
      <alignment horizontal="center"/>
    </xf>
    <xf numFmtId="37" fontId="5" fillId="0" borderId="30" xfId="0" quotePrefix="1" applyFont="1" applyBorder="1" applyAlignment="1">
      <alignment horizontal="center"/>
    </xf>
    <xf numFmtId="37" fontId="5" fillId="4" borderId="4" xfId="0" applyFont="1" applyFill="1" applyBorder="1" applyAlignment="1">
      <alignment horizontal="center" wrapText="1"/>
    </xf>
    <xf numFmtId="37" fontId="5" fillId="4" borderId="16" xfId="0" applyFont="1" applyFill="1" applyBorder="1" applyAlignment="1">
      <alignment horizontal="center" wrapText="1"/>
    </xf>
    <xf numFmtId="37" fontId="5" fillId="0" borderId="32" xfId="0" applyFont="1" applyBorder="1" applyAlignment="1">
      <alignment horizontal="center"/>
    </xf>
    <xf numFmtId="37" fontId="5" fillId="0" borderId="33" xfId="0" applyFont="1" applyBorder="1" applyAlignment="1">
      <alignment horizontal="center"/>
    </xf>
    <xf numFmtId="6" fontId="5" fillId="0" borderId="1" xfId="0" applyNumberFormat="1" applyFont="1" applyBorder="1" applyAlignment="1">
      <alignment horizontal="right"/>
    </xf>
    <xf numFmtId="5" fontId="5" fillId="0" borderId="10" xfId="0" applyNumberFormat="1" applyFont="1" applyBorder="1" applyAlignment="1">
      <alignment horizontal="right"/>
    </xf>
    <xf numFmtId="1" fontId="5" fillId="0" borderId="10" xfId="0" applyNumberFormat="1" applyFont="1" applyBorder="1"/>
    <xf numFmtId="37" fontId="8" fillId="0" borderId="0" xfId="3" applyFont="1"/>
    <xf numFmtId="49" fontId="5" fillId="0" borderId="10" xfId="3" applyNumberFormat="1" applyFont="1" applyBorder="1" applyAlignment="1">
      <alignment horizontal="center"/>
    </xf>
    <xf numFmtId="1" fontId="5" fillId="0" borderId="10" xfId="1" applyNumberFormat="1" applyFont="1" applyBorder="1" applyAlignment="1" applyProtection="1">
      <alignment horizontal="center"/>
    </xf>
    <xf numFmtId="49" fontId="5" fillId="0" borderId="1" xfId="3" applyNumberFormat="1" applyFont="1" applyBorder="1" applyAlignment="1">
      <alignment horizontal="center"/>
    </xf>
    <xf numFmtId="37" fontId="8" fillId="0" borderId="0" xfId="0" applyFont="1" applyProtection="1">
      <protection locked="0"/>
    </xf>
    <xf numFmtId="37" fontId="5" fillId="3" borderId="10" xfId="0" applyFont="1" applyFill="1" applyBorder="1" applyAlignment="1" applyProtection="1">
      <alignment horizontal="center"/>
      <protection locked="0"/>
    </xf>
    <xf numFmtId="37" fontId="5" fillId="0" borderId="1" xfId="0" applyFont="1" applyBorder="1" applyAlignment="1">
      <alignment vertical="center"/>
    </xf>
    <xf numFmtId="37" fontId="5" fillId="0" borderId="1" xfId="0" applyFont="1" applyBorder="1" applyAlignment="1">
      <alignment horizontal="right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3" applyNumberFormat="1" applyFont="1" applyBorder="1" applyAlignment="1">
      <alignment horizontal="center" vertical="center"/>
    </xf>
    <xf numFmtId="49" fontId="5" fillId="0" borderId="10" xfId="3" applyNumberFormat="1" applyFont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/>
    </xf>
    <xf numFmtId="37" fontId="9" fillId="0" borderId="10" xfId="0" applyFont="1" applyBorder="1"/>
    <xf numFmtId="14" fontId="9" fillId="0" borderId="1" xfId="0" applyNumberFormat="1" applyFont="1" applyBorder="1" applyAlignment="1">
      <alignment horizontal="center" vertical="center"/>
    </xf>
    <xf numFmtId="37" fontId="9" fillId="0" borderId="10" xfId="0" applyFont="1" applyBorder="1" applyAlignment="1">
      <alignment vertical="center"/>
    </xf>
    <xf numFmtId="37" fontId="5" fillId="0" borderId="10" xfId="0" applyFont="1" applyBorder="1" applyAlignment="1">
      <alignment vertical="center"/>
    </xf>
    <xf numFmtId="37" fontId="5" fillId="0" borderId="10" xfId="0" applyFont="1" applyBorder="1" applyAlignment="1">
      <alignment horizontal="right" vertical="center"/>
    </xf>
    <xf numFmtId="37" fontId="5" fillId="5" borderId="44" xfId="0" applyFont="1" applyFill="1" applyBorder="1" applyAlignment="1">
      <alignment horizontal="centerContinuous"/>
    </xf>
    <xf numFmtId="37" fontId="5" fillId="5" borderId="45" xfId="0" applyFont="1" applyFill="1" applyBorder="1" applyAlignment="1">
      <alignment horizontal="centerContinuous"/>
    </xf>
    <xf numFmtId="37" fontId="5" fillId="5" borderId="46" xfId="0" applyFont="1" applyFill="1" applyBorder="1" applyAlignment="1">
      <alignment horizontal="centerContinuous"/>
    </xf>
    <xf numFmtId="37" fontId="5" fillId="6" borderId="46" xfId="0" applyFont="1" applyFill="1" applyBorder="1" applyAlignment="1">
      <alignment horizontal="centerContinuous"/>
    </xf>
    <xf numFmtId="37" fontId="5" fillId="6" borderId="31" xfId="0" applyFont="1" applyFill="1" applyBorder="1" applyAlignment="1">
      <alignment horizontal="centerContinuous"/>
    </xf>
    <xf numFmtId="37" fontId="5" fillId="0" borderId="47" xfId="0" applyFont="1" applyBorder="1" applyAlignment="1">
      <alignment horizontal="centerContinuous"/>
    </xf>
    <xf numFmtId="37" fontId="5" fillId="0" borderId="48" xfId="0" applyFont="1" applyBorder="1" applyAlignment="1">
      <alignment horizontal="centerContinuous"/>
    </xf>
    <xf numFmtId="37" fontId="5" fillId="0" borderId="49" xfId="0" applyFont="1" applyBorder="1" applyAlignment="1">
      <alignment horizontal="centerContinuous"/>
    </xf>
    <xf numFmtId="37" fontId="5" fillId="0" borderId="50" xfId="0" quotePrefix="1" applyFont="1" applyBorder="1" applyAlignment="1">
      <alignment horizontal="center"/>
    </xf>
    <xf numFmtId="37" fontId="5" fillId="0" borderId="51" xfId="0" quotePrefix="1" applyFont="1" applyBorder="1" applyAlignment="1">
      <alignment horizontal="center"/>
    </xf>
    <xf numFmtId="37" fontId="5" fillId="0" borderId="52" xfId="0" quotePrefix="1" applyFont="1" applyBorder="1" applyAlignment="1">
      <alignment horizontal="center"/>
    </xf>
    <xf numFmtId="37" fontId="5" fillId="4" borderId="53" xfId="0" applyFont="1" applyFill="1" applyBorder="1" applyAlignment="1">
      <alignment horizontal="center"/>
    </xf>
    <xf numFmtId="37" fontId="5" fillId="3" borderId="54" xfId="0" applyFont="1" applyFill="1" applyBorder="1" applyAlignment="1">
      <alignment horizontal="center"/>
    </xf>
    <xf numFmtId="37" fontId="5" fillId="4" borderId="55" xfId="0" applyFont="1" applyFill="1" applyBorder="1" applyAlignment="1">
      <alignment horizontal="center"/>
    </xf>
    <xf numFmtId="37" fontId="5" fillId="3" borderId="56" xfId="0" applyFont="1" applyFill="1" applyBorder="1" applyAlignment="1">
      <alignment horizontal="center"/>
    </xf>
    <xf numFmtId="37" fontId="5" fillId="4" borderId="57" xfId="0" applyFont="1" applyFill="1" applyBorder="1" applyAlignment="1">
      <alignment horizontal="center"/>
    </xf>
    <xf numFmtId="37" fontId="5" fillId="4" borderId="58" xfId="0" applyFont="1" applyFill="1" applyBorder="1" applyAlignment="1">
      <alignment horizontal="center"/>
    </xf>
    <xf numFmtId="37" fontId="5" fillId="4" borderId="58" xfId="0" quotePrefix="1" applyFont="1" applyFill="1" applyBorder="1" applyAlignment="1">
      <alignment horizontal="center"/>
    </xf>
    <xf numFmtId="37" fontId="5" fillId="3" borderId="59" xfId="0" applyFont="1" applyFill="1" applyBorder="1" applyAlignment="1">
      <alignment horizontal="center"/>
    </xf>
    <xf numFmtId="37" fontId="8" fillId="0" borderId="0" xfId="3" applyFont="1" applyAlignment="1">
      <alignment vertical="center"/>
    </xf>
    <xf numFmtId="37" fontId="5" fillId="0" borderId="0" xfId="3" applyFont="1" applyAlignment="1">
      <alignment vertical="center"/>
    </xf>
    <xf numFmtId="166" fontId="5" fillId="0" borderId="10" xfId="4" quotePrefix="1" applyNumberFormat="1" applyFont="1" applyBorder="1" applyAlignment="1">
      <alignment horizontal="center"/>
    </xf>
    <xf numFmtId="49" fontId="5" fillId="0" borderId="10" xfId="4" applyNumberFormat="1" applyFont="1" applyBorder="1" applyAlignment="1">
      <alignment horizontal="center"/>
    </xf>
    <xf numFmtId="166" fontId="5" fillId="0" borderId="16" xfId="4" quotePrefix="1" applyNumberFormat="1" applyFont="1" applyBorder="1" applyAlignment="1">
      <alignment horizontal="center"/>
    </xf>
    <xf numFmtId="166" fontId="5" fillId="0" borderId="60" xfId="4" applyNumberFormat="1" applyFont="1" applyBorder="1" applyAlignment="1">
      <alignment horizontal="center"/>
    </xf>
    <xf numFmtId="49" fontId="5" fillId="0" borderId="62" xfId="4" applyNumberFormat="1" applyFont="1" applyBorder="1" applyAlignment="1">
      <alignment horizontal="center"/>
    </xf>
    <xf numFmtId="167" fontId="5" fillId="0" borderId="10" xfId="4" applyNumberFormat="1" applyFont="1" applyBorder="1"/>
    <xf numFmtId="3" fontId="5" fillId="0" borderId="10" xfId="88" applyNumberFormat="1" applyFont="1" applyFill="1" applyBorder="1" applyProtection="1"/>
    <xf numFmtId="3" fontId="5" fillId="0" borderId="10" xfId="1" applyNumberFormat="1" applyFont="1" applyFill="1" applyBorder="1" applyProtection="1"/>
    <xf numFmtId="3" fontId="5" fillId="0" borderId="4" xfId="158" applyNumberFormat="1" applyFont="1" applyBorder="1" applyProtection="1"/>
    <xf numFmtId="3" fontId="5" fillId="0" borderId="1" xfId="0" applyNumberFormat="1" applyFont="1" applyBorder="1"/>
    <xf numFmtId="166" fontId="5" fillId="0" borderId="63" xfId="4" applyNumberFormat="1" applyFont="1" applyBorder="1" applyAlignment="1">
      <alignment horizontal="center"/>
    </xf>
    <xf numFmtId="49" fontId="5" fillId="0" borderId="10" xfId="159" applyNumberFormat="1" applyFont="1" applyBorder="1" applyAlignment="1">
      <alignment horizontal="left" vertical="center"/>
    </xf>
    <xf numFmtId="14" fontId="5" fillId="0" borderId="64" xfId="159" applyNumberFormat="1" applyFont="1" applyBorder="1" applyAlignment="1">
      <alignment horizontal="center"/>
    </xf>
    <xf numFmtId="167" fontId="5" fillId="0" borderId="60" xfId="159" applyNumberFormat="1" applyFont="1" applyBorder="1" applyAlignment="1">
      <alignment horizontal="right"/>
    </xf>
    <xf numFmtId="14" fontId="5" fillId="0" borderId="10" xfId="159" quotePrefix="1" applyNumberFormat="1" applyFont="1" applyBorder="1" applyAlignment="1">
      <alignment horizontal="center"/>
    </xf>
    <xf numFmtId="14" fontId="5" fillId="0" borderId="1" xfId="159" applyNumberFormat="1" applyFont="1" applyBorder="1" applyAlignment="1">
      <alignment horizontal="center"/>
    </xf>
    <xf numFmtId="14" fontId="5" fillId="0" borderId="1" xfId="0" quotePrefix="1" applyNumberFormat="1" applyFont="1" applyBorder="1" applyAlignment="1">
      <alignment horizontal="center"/>
    </xf>
    <xf numFmtId="37" fontId="41" fillId="0" borderId="0" xfId="159" applyFont="1"/>
    <xf numFmtId="167" fontId="5" fillId="0" borderId="10" xfId="159" applyNumberFormat="1" applyFont="1" applyBorder="1" applyAlignment="1">
      <alignment horizontal="right"/>
    </xf>
    <xf numFmtId="166" fontId="5" fillId="0" borderId="10" xfId="159" applyNumberFormat="1" applyFont="1" applyBorder="1" applyAlignment="1">
      <alignment horizontal="center" vertical="center"/>
    </xf>
    <xf numFmtId="49" fontId="5" fillId="0" borderId="10" xfId="159" applyNumberFormat="1" applyFont="1" applyBorder="1" applyAlignment="1">
      <alignment horizontal="center" vertical="center"/>
    </xf>
    <xf numFmtId="167" fontId="5" fillId="0" borderId="10" xfId="116" applyNumberFormat="1" applyFont="1" applyBorder="1" applyAlignment="1" applyProtection="1">
      <alignment vertical="center"/>
    </xf>
    <xf numFmtId="166" fontId="9" fillId="0" borderId="60" xfId="159" applyNumberFormat="1" applyFont="1" applyBorder="1" applyAlignment="1">
      <alignment horizontal="center" vertical="center"/>
    </xf>
    <xf numFmtId="166" fontId="5" fillId="0" borderId="1" xfId="159" applyNumberFormat="1" applyFont="1" applyBorder="1" applyAlignment="1">
      <alignment horizontal="center" vertical="center"/>
    </xf>
    <xf numFmtId="49" fontId="5" fillId="0" borderId="1" xfId="159" applyNumberFormat="1" applyFont="1" applyBorder="1" applyAlignment="1">
      <alignment horizontal="left" vertical="center" wrapText="1"/>
    </xf>
    <xf numFmtId="49" fontId="5" fillId="0" borderId="1" xfId="159" applyNumberFormat="1" applyFont="1" applyBorder="1" applyAlignment="1">
      <alignment horizontal="center" vertical="center"/>
    </xf>
    <xf numFmtId="167" fontId="5" fillId="0" borderId="1" xfId="116" applyNumberFormat="1" applyFont="1" applyFill="1" applyBorder="1" applyAlignment="1" applyProtection="1">
      <alignment vertical="center"/>
    </xf>
    <xf numFmtId="167" fontId="5" fillId="0" borderId="10" xfId="116" applyNumberFormat="1" applyFont="1" applyFill="1" applyBorder="1" applyAlignment="1" applyProtection="1">
      <alignment vertical="center"/>
    </xf>
    <xf numFmtId="49" fontId="5" fillId="0" borderId="1" xfId="159" applyNumberFormat="1" applyFont="1" applyBorder="1" applyAlignment="1">
      <alignment horizontal="left" vertical="center"/>
    </xf>
    <xf numFmtId="49" fontId="9" fillId="0" borderId="1" xfId="159" applyNumberFormat="1" applyFont="1" applyBorder="1" applyAlignment="1">
      <alignment horizontal="left" vertical="center" wrapText="1"/>
    </xf>
    <xf numFmtId="167" fontId="5" fillId="0" borderId="1" xfId="159" applyNumberFormat="1" applyFont="1" applyBorder="1" applyAlignment="1">
      <alignment vertical="center"/>
    </xf>
    <xf numFmtId="166" fontId="5" fillId="0" borderId="1" xfId="159" applyNumberFormat="1" applyFont="1" applyBorder="1" applyAlignment="1">
      <alignment horizontal="center"/>
    </xf>
    <xf numFmtId="49" fontId="5" fillId="0" borderId="10" xfId="159" applyNumberFormat="1" applyFont="1" applyBorder="1" applyAlignment="1">
      <alignment horizontal="left"/>
    </xf>
    <xf numFmtId="49" fontId="9" fillId="0" borderId="10" xfId="159" applyNumberFormat="1" applyFont="1" applyBorder="1" applyAlignment="1">
      <alignment horizontal="left" vertical="center" wrapText="1"/>
    </xf>
    <xf numFmtId="49" fontId="5" fillId="0" borderId="10" xfId="159" applyNumberFormat="1" applyFont="1" applyBorder="1" applyAlignment="1">
      <alignment horizontal="center"/>
    </xf>
    <xf numFmtId="167" fontId="5" fillId="0" borderId="10" xfId="88" applyNumberFormat="1" applyFont="1" applyFill="1" applyBorder="1" applyProtection="1"/>
    <xf numFmtId="166" fontId="5" fillId="0" borderId="10" xfId="159" applyNumberFormat="1" applyFont="1" applyBorder="1" applyAlignment="1">
      <alignment horizontal="center" vertical="center" wrapText="1"/>
    </xf>
    <xf numFmtId="166" fontId="5" fillId="0" borderId="1" xfId="159" quotePrefix="1" applyNumberFormat="1" applyFont="1" applyBorder="1" applyAlignment="1">
      <alignment horizontal="center" vertical="center"/>
    </xf>
    <xf numFmtId="167" fontId="5" fillId="0" borderId="1" xfId="116" applyNumberFormat="1" applyFont="1" applyBorder="1" applyAlignment="1" applyProtection="1">
      <alignment vertical="center"/>
    </xf>
    <xf numFmtId="166" fontId="5" fillId="0" borderId="62" xfId="159" applyNumberFormat="1" applyFont="1" applyBorder="1" applyAlignment="1">
      <alignment horizontal="center" vertical="center"/>
    </xf>
    <xf numFmtId="49" fontId="39" fillId="0" borderId="1" xfId="159" applyNumberFormat="1" applyFont="1" applyBorder="1" applyAlignment="1">
      <alignment horizontal="left" vertical="center" wrapText="1"/>
    </xf>
    <xf numFmtId="167" fontId="5" fillId="0" borderId="10" xfId="159" applyNumberFormat="1" applyFont="1" applyBorder="1" applyAlignment="1">
      <alignment vertical="center"/>
    </xf>
    <xf numFmtId="14" fontId="5" fillId="0" borderId="10" xfId="159" applyNumberFormat="1" applyFont="1" applyBorder="1" applyAlignment="1">
      <alignment horizontal="center" vertical="center"/>
    </xf>
    <xf numFmtId="14" fontId="5" fillId="0" borderId="1" xfId="159" applyNumberFormat="1" applyFont="1" applyBorder="1" applyAlignment="1">
      <alignment horizontal="center" vertical="center"/>
    </xf>
    <xf numFmtId="167" fontId="5" fillId="0" borderId="1" xfId="159" applyNumberFormat="1" applyFont="1" applyBorder="1" applyAlignment="1">
      <alignment horizontal="right"/>
    </xf>
    <xf numFmtId="166" fontId="5" fillId="0" borderId="10" xfId="159" applyNumberFormat="1" applyFont="1" applyBorder="1" applyAlignment="1">
      <alignment horizontal="center"/>
    </xf>
    <xf numFmtId="14" fontId="5" fillId="0" borderId="10" xfId="159" applyNumberFormat="1" applyFont="1" applyBorder="1" applyAlignment="1">
      <alignment horizontal="center"/>
    </xf>
    <xf numFmtId="166" fontId="5" fillId="0" borderId="10" xfId="159" quotePrefix="1" applyNumberFormat="1" applyFont="1" applyBorder="1" applyAlignment="1">
      <alignment horizontal="center"/>
    </xf>
    <xf numFmtId="49" fontId="5" fillId="29" borderId="1" xfId="0" applyNumberFormat="1" applyFont="1" applyFill="1" applyBorder="1" applyAlignment="1">
      <alignment horizontal="center"/>
    </xf>
    <xf numFmtId="167" fontId="5" fillId="29" borderId="1" xfId="159" applyNumberFormat="1" applyFont="1" applyFill="1" applyBorder="1" applyAlignment="1">
      <alignment horizontal="right"/>
    </xf>
    <xf numFmtId="37" fontId="5" fillId="0" borderId="60" xfId="0" applyFont="1" applyBorder="1" applyAlignment="1">
      <alignment horizontal="center"/>
    </xf>
    <xf numFmtId="37" fontId="8" fillId="0" borderId="0" xfId="159" applyFont="1"/>
    <xf numFmtId="37" fontId="8" fillId="0" borderId="0" xfId="3" applyFont="1" applyAlignment="1">
      <alignment vertical="center" wrapText="1"/>
    </xf>
    <xf numFmtId="37" fontId="43" fillId="0" borderId="0" xfId="0" applyFont="1"/>
    <xf numFmtId="3" fontId="40" fillId="0" borderId="60" xfId="0" applyNumberFormat="1" applyFont="1" applyBorder="1" applyAlignment="1">
      <alignment horizontal="right"/>
    </xf>
    <xf numFmtId="3" fontId="5" fillId="0" borderId="1" xfId="0" applyNumberFormat="1" applyFont="1" applyBorder="1" applyAlignment="1">
      <alignment horizontal="right"/>
    </xf>
    <xf numFmtId="3" fontId="5" fillId="0" borderId="10" xfId="0" applyNumberFormat="1" applyFont="1" applyBorder="1"/>
    <xf numFmtId="3" fontId="5" fillId="0" borderId="1" xfId="159" applyNumberFormat="1" applyFont="1" applyBorder="1" applyAlignment="1">
      <alignment horizontal="right"/>
    </xf>
    <xf numFmtId="3" fontId="5" fillId="0" borderId="60" xfId="159" applyNumberFormat="1" applyFont="1" applyBorder="1" applyAlignment="1">
      <alignment horizontal="right"/>
    </xf>
    <xf numFmtId="3" fontId="5" fillId="0" borderId="1" xfId="0" applyNumberFormat="1" applyFont="1" applyBorder="1" applyAlignment="1">
      <alignment horizontal="right" vertical="center"/>
    </xf>
    <xf numFmtId="49" fontId="5" fillId="0" borderId="10" xfId="0" applyNumberFormat="1" applyFont="1" applyBorder="1" applyAlignment="1">
      <alignment horizontal="center" wrapText="1"/>
    </xf>
    <xf numFmtId="3" fontId="5" fillId="0" borderId="10" xfId="0" applyNumberFormat="1" applyFont="1" applyBorder="1" applyAlignment="1">
      <alignment horizontal="right"/>
    </xf>
    <xf numFmtId="166" fontId="5" fillId="0" borderId="1" xfId="159" applyNumberFormat="1" applyFont="1" applyBorder="1" applyAlignment="1">
      <alignment horizontal="center" wrapText="1"/>
    </xf>
    <xf numFmtId="1" fontId="5" fillId="0" borderId="10" xfId="1" applyNumberFormat="1" applyFont="1" applyBorder="1" applyAlignment="1" applyProtection="1">
      <alignment horizontal="center" wrapText="1"/>
    </xf>
    <xf numFmtId="49" fontId="9" fillId="0" borderId="10" xfId="159" applyNumberFormat="1" applyFont="1" applyBorder="1" applyAlignment="1">
      <alignment horizontal="center" vertical="center"/>
    </xf>
    <xf numFmtId="49" fontId="5" fillId="0" borderId="61" xfId="4" applyNumberFormat="1" applyFont="1" applyBorder="1" applyAlignment="1">
      <alignment horizontal="center"/>
    </xf>
    <xf numFmtId="49" fontId="5" fillId="29" borderId="11" xfId="4" applyNumberFormat="1" applyFont="1" applyFill="1" applyBorder="1" applyAlignment="1">
      <alignment horizontal="center"/>
    </xf>
    <xf numFmtId="49" fontId="9" fillId="29" borderId="10" xfId="4" applyNumberFormat="1" applyFont="1" applyFill="1" applyBorder="1" applyAlignment="1">
      <alignment horizontal="center" vertical="center" wrapText="1"/>
    </xf>
    <xf numFmtId="166" fontId="5" fillId="0" borderId="10" xfId="159" applyNumberFormat="1" applyFont="1" applyBorder="1" applyAlignment="1">
      <alignment horizontal="center" wrapText="1"/>
    </xf>
    <xf numFmtId="166" fontId="9" fillId="0" borderId="60" xfId="159" applyNumberFormat="1" applyFont="1" applyBorder="1" applyAlignment="1">
      <alignment horizontal="center" wrapText="1"/>
    </xf>
    <xf numFmtId="37" fontId="9" fillId="0" borderId="60" xfId="159" applyFont="1" applyBorder="1" applyAlignment="1">
      <alignment horizontal="center"/>
    </xf>
    <xf numFmtId="3" fontId="9" fillId="0" borderId="60" xfId="159" applyNumberFormat="1" applyFont="1" applyBorder="1"/>
    <xf numFmtId="3" fontId="5" fillId="0" borderId="10" xfId="159" applyNumberFormat="1" applyFont="1" applyBorder="1"/>
    <xf numFmtId="14" fontId="9" fillId="0" borderId="60" xfId="159" applyNumberFormat="1" applyFont="1" applyBorder="1" applyAlignment="1">
      <alignment horizontal="center"/>
    </xf>
    <xf numFmtId="49" fontId="5" fillId="0" borderId="1" xfId="159" applyNumberFormat="1" applyFont="1" applyBorder="1" applyAlignment="1">
      <alignment horizontal="center"/>
    </xf>
    <xf numFmtId="3" fontId="5" fillId="0" borderId="1" xfId="116" applyNumberFormat="1" applyFont="1" applyFill="1" applyBorder="1" applyAlignment="1" applyProtection="1"/>
    <xf numFmtId="3" fontId="5" fillId="0" borderId="10" xfId="116" applyNumberFormat="1" applyFont="1" applyFill="1" applyBorder="1" applyAlignment="1" applyProtection="1"/>
    <xf numFmtId="3" fontId="5" fillId="0" borderId="1" xfId="159" applyNumberFormat="1" applyFont="1" applyBorder="1"/>
    <xf numFmtId="49" fontId="5" fillId="29" borderId="1" xfId="159" applyNumberFormat="1" applyFont="1" applyFill="1" applyBorder="1" applyAlignment="1">
      <alignment horizontal="center"/>
    </xf>
    <xf numFmtId="166" fontId="5" fillId="0" borderId="1" xfId="159" quotePrefix="1" applyNumberFormat="1" applyFont="1" applyBorder="1" applyAlignment="1">
      <alignment horizontal="center" wrapText="1"/>
    </xf>
    <xf numFmtId="3" fontId="5" fillId="0" borderId="1" xfId="116" applyNumberFormat="1" applyFont="1" applyBorder="1" applyAlignment="1" applyProtection="1"/>
    <xf numFmtId="166" fontId="5" fillId="0" borderId="62" xfId="159" applyNumberFormat="1" applyFont="1" applyBorder="1" applyAlignment="1">
      <alignment horizontal="center" wrapText="1"/>
    </xf>
    <xf numFmtId="3" fontId="5" fillId="0" borderId="10" xfId="116" applyNumberFormat="1" applyFont="1" applyBorder="1" applyAlignment="1" applyProtection="1"/>
    <xf numFmtId="167" fontId="5" fillId="0" borderId="10" xfId="116" applyNumberFormat="1" applyFont="1" applyFill="1" applyBorder="1" applyAlignment="1" applyProtection="1"/>
    <xf numFmtId="167" fontId="5" fillId="0" borderId="10" xfId="159" applyNumberFormat="1" applyFont="1" applyBorder="1"/>
    <xf numFmtId="3" fontId="5" fillId="0" borderId="10" xfId="88" applyNumberFormat="1" applyFont="1" applyFill="1" applyBorder="1" applyAlignment="1" applyProtection="1"/>
    <xf numFmtId="1" fontId="5" fillId="0" borderId="10" xfId="1" applyNumberFormat="1" applyFont="1" applyFill="1" applyBorder="1" applyAlignment="1" applyProtection="1">
      <alignment horizontal="center" wrapText="1"/>
    </xf>
    <xf numFmtId="3" fontId="5" fillId="0" borderId="10" xfId="1" applyNumberFormat="1" applyFont="1" applyFill="1" applyBorder="1" applyAlignment="1" applyProtection="1">
      <alignment horizontal="right"/>
    </xf>
    <xf numFmtId="3" fontId="5" fillId="0" borderId="61" xfId="159" applyNumberFormat="1" applyFont="1" applyBorder="1"/>
    <xf numFmtId="167" fontId="5" fillId="0" borderId="1" xfId="159" applyNumberFormat="1" applyFont="1" applyBorder="1"/>
    <xf numFmtId="167" fontId="5" fillId="0" borderId="62" xfId="158" applyNumberFormat="1" applyFont="1" applyFill="1" applyBorder="1" applyAlignment="1" applyProtection="1"/>
    <xf numFmtId="166" fontId="9" fillId="0" borderId="60" xfId="159" applyNumberFormat="1" applyFont="1" applyBorder="1" applyAlignment="1">
      <alignment horizontal="center"/>
    </xf>
    <xf numFmtId="37" fontId="45" fillId="0" borderId="0" xfId="0" applyFont="1" applyAlignment="1">
      <alignment vertical="center"/>
    </xf>
    <xf numFmtId="49" fontId="5" fillId="0" borderId="10" xfId="4" applyNumberFormat="1" applyFont="1" applyBorder="1" applyAlignment="1">
      <alignment horizontal="left"/>
    </xf>
    <xf numFmtId="49" fontId="9" fillId="0" borderId="10" xfId="159" applyNumberFormat="1" applyFont="1" applyBorder="1" applyAlignment="1">
      <alignment horizontal="left" vertical="center"/>
    </xf>
    <xf numFmtId="49" fontId="5" fillId="0" borderId="61" xfId="4" applyNumberFormat="1" applyFont="1" applyBorder="1" applyAlignment="1">
      <alignment horizontal="left"/>
    </xf>
    <xf numFmtId="49" fontId="5" fillId="29" borderId="11" xfId="4" applyNumberFormat="1" applyFont="1" applyFill="1" applyBorder="1" applyAlignment="1">
      <alignment horizontal="left"/>
    </xf>
    <xf numFmtId="49" fontId="9" fillId="29" borderId="10" xfId="4" applyNumberFormat="1" applyFont="1" applyFill="1" applyBorder="1" applyAlignment="1">
      <alignment horizontal="left" vertical="center" wrapText="1"/>
    </xf>
    <xf numFmtId="49" fontId="5" fillId="0" borderId="10" xfId="159" applyNumberFormat="1" applyFont="1" applyBorder="1" applyAlignment="1">
      <alignment horizontal="left" wrapText="1"/>
    </xf>
    <xf numFmtId="37" fontId="9" fillId="0" borderId="60" xfId="159" applyFont="1" applyBorder="1" applyAlignment="1">
      <alignment horizontal="left"/>
    </xf>
    <xf numFmtId="37" fontId="9" fillId="29" borderId="60" xfId="159" applyFont="1" applyFill="1" applyBorder="1" applyAlignment="1">
      <alignment horizontal="left"/>
    </xf>
    <xf numFmtId="49" fontId="5" fillId="0" borderId="1" xfId="159" applyNumberFormat="1" applyFont="1" applyBorder="1" applyAlignment="1">
      <alignment horizontal="left" wrapText="1"/>
    </xf>
    <xf numFmtId="49" fontId="5" fillId="0" borderId="1" xfId="159" applyNumberFormat="1" applyFont="1" applyBorder="1" applyAlignment="1">
      <alignment horizontal="left"/>
    </xf>
    <xf numFmtId="49" fontId="9" fillId="0" borderId="1" xfId="159" applyNumberFormat="1" applyFont="1" applyBorder="1" applyAlignment="1">
      <alignment horizontal="left" wrapText="1"/>
    </xf>
    <xf numFmtId="49" fontId="9" fillId="0" borderId="10" xfId="159" applyNumberFormat="1" applyFont="1" applyBorder="1" applyAlignment="1">
      <alignment horizontal="left" wrapText="1"/>
    </xf>
    <xf numFmtId="49" fontId="9" fillId="29" borderId="1" xfId="159" applyNumberFormat="1" applyFont="1" applyFill="1" applyBorder="1" applyAlignment="1">
      <alignment horizontal="left" wrapText="1"/>
    </xf>
    <xf numFmtId="49" fontId="5" fillId="29" borderId="1" xfId="159" applyNumberFormat="1" applyFont="1" applyFill="1" applyBorder="1" applyAlignment="1">
      <alignment horizontal="left" wrapText="1"/>
    </xf>
    <xf numFmtId="49" fontId="5" fillId="29" borderId="10" xfId="159" applyNumberFormat="1" applyFont="1" applyFill="1" applyBorder="1" applyAlignment="1">
      <alignment horizontal="left"/>
    </xf>
    <xf numFmtId="49" fontId="39" fillId="29" borderId="1" xfId="159" applyNumberFormat="1" applyFont="1" applyFill="1" applyBorder="1" applyAlignment="1">
      <alignment horizontal="left" wrapText="1"/>
    </xf>
    <xf numFmtId="49" fontId="5" fillId="29" borderId="1" xfId="3" applyNumberFormat="1" applyFont="1" applyFill="1" applyBorder="1" applyAlignment="1">
      <alignment horizontal="left"/>
    </xf>
    <xf numFmtId="49" fontId="5" fillId="0" borderId="1" xfId="3" applyNumberFormat="1" applyFont="1" applyBorder="1" applyAlignment="1">
      <alignment horizontal="left"/>
    </xf>
    <xf numFmtId="49" fontId="5" fillId="0" borderId="1" xfId="0" applyNumberFormat="1" applyFont="1" applyBorder="1" applyAlignment="1">
      <alignment horizontal="left"/>
    </xf>
    <xf numFmtId="49" fontId="5" fillId="29" borderId="1" xfId="0" applyNumberFormat="1" applyFont="1" applyFill="1" applyBorder="1" applyAlignment="1">
      <alignment horizontal="left"/>
    </xf>
    <xf numFmtId="49" fontId="5" fillId="29" borderId="10" xfId="159" applyNumberFormat="1" applyFont="1" applyFill="1" applyBorder="1" applyAlignment="1">
      <alignment horizontal="left" wrapText="1"/>
    </xf>
    <xf numFmtId="49" fontId="9" fillId="29" borderId="10" xfId="4" applyNumberFormat="1" applyFont="1" applyFill="1" applyBorder="1" applyAlignment="1">
      <alignment horizontal="left" wrapText="1"/>
    </xf>
    <xf numFmtId="49" fontId="5" fillId="29" borderId="1" xfId="3" applyNumberFormat="1" applyFont="1" applyFill="1" applyBorder="1" applyAlignment="1">
      <alignment horizontal="left" wrapText="1"/>
    </xf>
    <xf numFmtId="49" fontId="5" fillId="29" borderId="1" xfId="0" applyNumberFormat="1" applyFont="1" applyFill="1" applyBorder="1" applyAlignment="1">
      <alignment horizontal="left" wrapText="1"/>
    </xf>
    <xf numFmtId="49" fontId="9" fillId="29" borderId="10" xfId="159" applyNumberFormat="1" applyFont="1" applyFill="1" applyBorder="1" applyAlignment="1">
      <alignment horizontal="left" wrapText="1"/>
    </xf>
    <xf numFmtId="37" fontId="5" fillId="4" borderId="5" xfId="0" applyFont="1" applyFill="1" applyBorder="1" applyAlignment="1">
      <alignment horizontal="center" vertical="center"/>
    </xf>
    <xf numFmtId="37" fontId="7" fillId="4" borderId="34" xfId="0" applyFont="1" applyFill="1" applyBorder="1" applyAlignment="1">
      <alignment horizontal="center" vertical="center"/>
    </xf>
    <xf numFmtId="37" fontId="7" fillId="4" borderId="21" xfId="0" applyFont="1" applyFill="1" applyBorder="1" applyAlignment="1">
      <alignment horizontal="center" vertical="center"/>
    </xf>
    <xf numFmtId="37" fontId="7" fillId="4" borderId="30" xfId="0" applyFont="1" applyFill="1" applyBorder="1" applyAlignment="1">
      <alignment horizontal="center" vertical="center"/>
    </xf>
    <xf numFmtId="37" fontId="8" fillId="0" borderId="0" xfId="3" applyFont="1" applyAlignment="1">
      <alignment horizontal="left"/>
    </xf>
    <xf numFmtId="49" fontId="40" fillId="0" borderId="1" xfId="0" applyNumberFormat="1" applyFont="1" applyBorder="1" applyAlignment="1">
      <alignment horizontal="left" wrapText="1"/>
    </xf>
  </cellXfs>
  <cellStyles count="161">
    <cellStyle name="20% - Accent1 2" xfId="89" xr:uid="{00000000-0005-0000-0000-000000000000}"/>
    <cellStyle name="20% - Accent2 2" xfId="90" xr:uid="{00000000-0005-0000-0000-000001000000}"/>
    <cellStyle name="20% - Accent3 2" xfId="91" xr:uid="{00000000-0005-0000-0000-000002000000}"/>
    <cellStyle name="20% - Accent4 2" xfId="92" xr:uid="{00000000-0005-0000-0000-000003000000}"/>
    <cellStyle name="20% - Accent5 2" xfId="93" xr:uid="{00000000-0005-0000-0000-000004000000}"/>
    <cellStyle name="20% - Accent6 2" xfId="94" xr:uid="{00000000-0005-0000-0000-000005000000}"/>
    <cellStyle name="40% - Accent1 2" xfId="95" xr:uid="{00000000-0005-0000-0000-000006000000}"/>
    <cellStyle name="40% - Accent2 2" xfId="96" xr:uid="{00000000-0005-0000-0000-000007000000}"/>
    <cellStyle name="40% - Accent3 2" xfId="97" xr:uid="{00000000-0005-0000-0000-000008000000}"/>
    <cellStyle name="40% - Accent4 2" xfId="98" xr:uid="{00000000-0005-0000-0000-000009000000}"/>
    <cellStyle name="40% - Accent5 2" xfId="99" xr:uid="{00000000-0005-0000-0000-00000A000000}"/>
    <cellStyle name="40% - Accent6 2" xfId="100" xr:uid="{00000000-0005-0000-0000-00000B000000}"/>
    <cellStyle name="60% - Accent1 2" xfId="101" xr:uid="{00000000-0005-0000-0000-00000C000000}"/>
    <cellStyle name="60% - Accent2 2" xfId="102" xr:uid="{00000000-0005-0000-0000-00000D000000}"/>
    <cellStyle name="60% - Accent3 2" xfId="103" xr:uid="{00000000-0005-0000-0000-00000E000000}"/>
    <cellStyle name="60% - Accent4 2" xfId="104" xr:uid="{00000000-0005-0000-0000-00000F000000}"/>
    <cellStyle name="60% - Accent5 2" xfId="105" xr:uid="{00000000-0005-0000-0000-000010000000}"/>
    <cellStyle name="60% - Accent6 2" xfId="106" xr:uid="{00000000-0005-0000-0000-000011000000}"/>
    <cellStyle name="Accent1 2" xfId="107" xr:uid="{00000000-0005-0000-0000-000012000000}"/>
    <cellStyle name="Accent2 2" xfId="108" xr:uid="{00000000-0005-0000-0000-000013000000}"/>
    <cellStyle name="Accent3 2" xfId="109" xr:uid="{00000000-0005-0000-0000-000014000000}"/>
    <cellStyle name="Accent4 2" xfId="110" xr:uid="{00000000-0005-0000-0000-000015000000}"/>
    <cellStyle name="Accent5 2" xfId="111" xr:uid="{00000000-0005-0000-0000-000016000000}"/>
    <cellStyle name="Accent6 2" xfId="112" xr:uid="{00000000-0005-0000-0000-000017000000}"/>
    <cellStyle name="Bad 2" xfId="113" xr:uid="{00000000-0005-0000-0000-000018000000}"/>
    <cellStyle name="Calculation 2" xfId="114" xr:uid="{00000000-0005-0000-0000-000019000000}"/>
    <cellStyle name="Check Cell 2" xfId="115" xr:uid="{00000000-0005-0000-0000-00001A000000}"/>
    <cellStyle name="Comma" xfId="1" builtinId="3"/>
    <cellStyle name="Comma 2" xfId="88" xr:uid="{00000000-0005-0000-0000-00001C000000}"/>
    <cellStyle name="Currency" xfId="158" builtinId="4"/>
    <cellStyle name="Currency 2" xfId="116" xr:uid="{00000000-0005-0000-0000-00001E000000}"/>
    <cellStyle name="Date" xfId="117" xr:uid="{00000000-0005-0000-0000-00001F000000}"/>
    <cellStyle name="Explanatory Text 2" xfId="118" xr:uid="{00000000-0005-0000-0000-000020000000}"/>
    <cellStyle name="F2" xfId="119" xr:uid="{00000000-0005-0000-0000-000021000000}"/>
    <cellStyle name="F3" xfId="120" xr:uid="{00000000-0005-0000-0000-000022000000}"/>
    <cellStyle name="F4" xfId="121" xr:uid="{00000000-0005-0000-0000-000023000000}"/>
    <cellStyle name="F5" xfId="122" xr:uid="{00000000-0005-0000-0000-000024000000}"/>
    <cellStyle name="F6" xfId="123" xr:uid="{00000000-0005-0000-0000-000025000000}"/>
    <cellStyle name="F7" xfId="124" xr:uid="{00000000-0005-0000-0000-000026000000}"/>
    <cellStyle name="F8" xfId="125" xr:uid="{00000000-0005-0000-0000-000027000000}"/>
    <cellStyle name="Fixed" xfId="126" xr:uid="{00000000-0005-0000-0000-000028000000}"/>
    <cellStyle name="Followed Hyperlink" xfId="52" builtinId="9" hidden="1"/>
    <cellStyle name="Followed Hyperlink" xfId="26" builtinId="9" hidden="1"/>
    <cellStyle name="Followed Hyperlink" xfId="28" builtinId="9" hidden="1"/>
    <cellStyle name="Followed Hyperlink" xfId="32" builtinId="9" hidden="1"/>
    <cellStyle name="Followed Hyperlink" xfId="34" builtinId="9" hidden="1"/>
    <cellStyle name="Followed Hyperlink" xfId="68" builtinId="9" hidden="1"/>
    <cellStyle name="Followed Hyperlink" xfId="66" builtinId="9" hidden="1"/>
    <cellStyle name="Followed Hyperlink" xfId="70" builtinId="9" hidden="1"/>
    <cellStyle name="Followed Hyperlink" xfId="74" builtinId="9" hidden="1"/>
    <cellStyle name="Followed Hyperlink" xfId="72" builtinId="9" hidden="1"/>
    <cellStyle name="Followed Hyperlink" xfId="58" builtinId="9" hidden="1"/>
    <cellStyle name="Followed Hyperlink" xfId="62" builtinId="9" hidden="1"/>
    <cellStyle name="Followed Hyperlink" xfId="54" builtinId="9" hidden="1"/>
    <cellStyle name="Followed Hyperlink" xfId="56" builtinId="9" hidden="1"/>
    <cellStyle name="Followed Hyperlink" xfId="78" builtinId="9" hidden="1"/>
    <cellStyle name="Followed Hyperlink" xfId="64" builtinId="9" hidden="1"/>
    <cellStyle name="Followed Hyperlink" xfId="30" builtinId="9" hidden="1"/>
    <cellStyle name="Followed Hyperlink" xfId="60" builtinId="9" hidden="1"/>
    <cellStyle name="Followed Hyperlink" xfId="10" builtinId="9" hidden="1"/>
    <cellStyle name="Followed Hyperlink" xfId="12" builtinId="9" hidden="1"/>
    <cellStyle name="Followed Hyperlink" xfId="6" builtinId="9" hidden="1"/>
    <cellStyle name="Followed Hyperlink" xfId="8" builtinId="9" hidden="1"/>
    <cellStyle name="Followed Hyperlink" xfId="24" builtinId="9" hidden="1"/>
    <cellStyle name="Followed Hyperlink" xfId="46" builtinId="9" hidden="1"/>
    <cellStyle name="Followed Hyperlink" xfId="38" builtinId="9" hidden="1"/>
    <cellStyle name="Followed Hyperlink" xfId="80" builtinId="9" hidden="1"/>
    <cellStyle name="Followed Hyperlink" xfId="82" builtinId="9" hidden="1"/>
    <cellStyle name="Followed Hyperlink" xfId="86" builtinId="9" hidden="1"/>
    <cellStyle name="Followed Hyperlink" xfId="84" builtinId="9" hidden="1"/>
    <cellStyle name="Followed Hyperlink" xfId="76" builtinId="9" hidden="1"/>
    <cellStyle name="Followed Hyperlink" xfId="14" builtinId="9" hidden="1"/>
    <cellStyle name="Followed Hyperlink" xfId="50" builtinId="9" hidden="1"/>
    <cellStyle name="Followed Hyperlink" xfId="36" builtinId="9" hidden="1"/>
    <cellStyle name="Followed Hyperlink" xfId="16" builtinId="9" hidden="1"/>
    <cellStyle name="Followed Hyperlink" xfId="22" builtinId="9" hidden="1"/>
    <cellStyle name="Followed Hyperlink" xfId="20" builtinId="9" hidden="1"/>
    <cellStyle name="Followed Hyperlink" xfId="18" builtinId="9" hidden="1"/>
    <cellStyle name="Followed Hyperlink" xfId="44" builtinId="9" hidden="1"/>
    <cellStyle name="Followed Hyperlink" xfId="48" builtinId="9" hidden="1"/>
    <cellStyle name="Followed Hyperlink" xfId="42" builtinId="9" hidden="1"/>
    <cellStyle name="Followed Hyperlink" xfId="40" builtinId="9" hidden="1"/>
    <cellStyle name="Good 2" xfId="127" xr:uid="{00000000-0005-0000-0000-000052000000}"/>
    <cellStyle name="Heading 1 2" xfId="128" xr:uid="{00000000-0005-0000-0000-000053000000}"/>
    <cellStyle name="Heading 2 2" xfId="129" xr:uid="{00000000-0005-0000-0000-000054000000}"/>
    <cellStyle name="Heading 3 2" xfId="130" xr:uid="{00000000-0005-0000-0000-000055000000}"/>
    <cellStyle name="Heading 4 2" xfId="131" xr:uid="{00000000-0005-0000-0000-000056000000}"/>
    <cellStyle name="Heading1" xfId="132" xr:uid="{00000000-0005-0000-0000-000057000000}"/>
    <cellStyle name="Heading2" xfId="133" xr:uid="{00000000-0005-0000-0000-000058000000}"/>
    <cellStyle name="Hyperlink" xfId="11" builtinId="8" hidden="1"/>
    <cellStyle name="Hyperlink" xfId="7" builtinId="8" hidden="1"/>
    <cellStyle name="Hyperlink" xfId="5" builtinId="8" hidden="1"/>
    <cellStyle name="Hyperlink" xfId="13" builtinId="8" hidden="1"/>
    <cellStyle name="Hyperlink" xfId="23" builtinId="8" hidden="1"/>
    <cellStyle name="Hyperlink" xfId="79" builtinId="8" hidden="1"/>
    <cellStyle name="Hyperlink" xfId="59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3" builtinId="8" hidden="1"/>
    <cellStyle name="Hyperlink" xfId="75" builtinId="8" hidden="1"/>
    <cellStyle name="Hyperlink" xfId="77" builtinId="8" hidden="1"/>
    <cellStyle name="Hyperlink" xfId="51" builtinId="8" hidden="1"/>
    <cellStyle name="Hyperlink" xfId="53" builtinId="8" hidden="1"/>
    <cellStyle name="Hyperlink" xfId="57" builtinId="8" hidden="1"/>
    <cellStyle name="Hyperlink" xfId="45" builtinId="8" hidden="1"/>
    <cellStyle name="Hyperlink" xfId="47" builtinId="8" hidden="1"/>
    <cellStyle name="Hyperlink" xfId="43" builtinId="8" hidden="1"/>
    <cellStyle name="Hyperlink" xfId="41" builtinId="8" hidden="1"/>
    <cellStyle name="Hyperlink" xfId="49" builtinId="8" hidden="1"/>
    <cellStyle name="Hyperlink" xfId="61" builtinId="8" hidden="1"/>
    <cellStyle name="Hyperlink" xfId="9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15" builtinId="8" hidden="1"/>
    <cellStyle name="Hyperlink" xfId="17" builtinId="8" hidden="1"/>
    <cellStyle name="Hyperlink" xfId="19" builtinId="8" hidden="1"/>
    <cellStyle name="Hyperlink" xfId="55" builtinId="8" hidden="1"/>
    <cellStyle name="Hyperlink" xfId="39" builtinId="8" hidden="1"/>
    <cellStyle name="Hyperlink" xfId="21" builtinId="8" hidden="1"/>
    <cellStyle name="Hyperlink" xfId="25" builtinId="8" hidden="1"/>
    <cellStyle name="Hyperlink" xfId="85" builtinId="8" hidden="1"/>
    <cellStyle name="Hyperlink" xfId="71" builtinId="8" hidden="1"/>
    <cellStyle name="Hyperlink" xfId="83" builtinId="8" hidden="1"/>
    <cellStyle name="Hyperlink" xfId="81" builtinId="8" hidden="1"/>
    <cellStyle name="Input 2" xfId="134" xr:uid="{00000000-0005-0000-0000-000082000000}"/>
    <cellStyle name="Linked Cell 2" xfId="135" xr:uid="{00000000-0005-0000-0000-000083000000}"/>
    <cellStyle name="Neutral 2" xfId="136" xr:uid="{00000000-0005-0000-0000-000084000000}"/>
    <cellStyle name="Normal" xfId="0" builtinId="0"/>
    <cellStyle name="Normal 10" xfId="137" xr:uid="{00000000-0005-0000-0000-000086000000}"/>
    <cellStyle name="Normal 11" xfId="138" xr:uid="{00000000-0005-0000-0000-000087000000}"/>
    <cellStyle name="Normal 12" xfId="139" xr:uid="{00000000-0005-0000-0000-000088000000}"/>
    <cellStyle name="Normal 13" xfId="154" xr:uid="{00000000-0005-0000-0000-000089000000}"/>
    <cellStyle name="Normal 14" xfId="155" xr:uid="{00000000-0005-0000-0000-00008A000000}"/>
    <cellStyle name="Normal 2" xfId="2" xr:uid="{00000000-0005-0000-0000-00008B000000}"/>
    <cellStyle name="Normal 2 4" xfId="160" xr:uid="{4FFCB3AC-DCA0-4035-8A4A-109DCE9840CB}"/>
    <cellStyle name="Normal 3" xfId="4" xr:uid="{00000000-0005-0000-0000-00008C000000}"/>
    <cellStyle name="Normal 3 2" xfId="159" xr:uid="{0160450E-CC85-4B1F-B451-9B150CDE81D6}"/>
    <cellStyle name="Normal 4" xfId="87" xr:uid="{00000000-0005-0000-0000-00008D000000}"/>
    <cellStyle name="Normal 5" xfId="140" xr:uid="{00000000-0005-0000-0000-00008E000000}"/>
    <cellStyle name="Normal 6" xfId="141" xr:uid="{00000000-0005-0000-0000-00008F000000}"/>
    <cellStyle name="Normal 6 2" xfId="156" xr:uid="{00000000-0005-0000-0000-000090000000}"/>
    <cellStyle name="Normal 7" xfId="142" xr:uid="{00000000-0005-0000-0000-000091000000}"/>
    <cellStyle name="Normal 7 2" xfId="143" xr:uid="{00000000-0005-0000-0000-000092000000}"/>
    <cellStyle name="Normal 7_FY2012 DPH Budget sample 3-30-11 (2)(1)" xfId="144" xr:uid="{00000000-0005-0000-0000-000093000000}"/>
    <cellStyle name="Normal 8" xfId="145" xr:uid="{00000000-0005-0000-0000-000094000000}"/>
    <cellStyle name="Normal 8 2" xfId="157" xr:uid="{6C6F1CA4-6E43-4C8A-87AA-B5D2ACE14245}"/>
    <cellStyle name="Normal 9" xfId="146" xr:uid="{00000000-0005-0000-0000-000095000000}"/>
    <cellStyle name="Normal_FY_2012_BBMR_SP-1_FORM_(FY12_PROPOSED_with_Summary_Page) DGA" xfId="3" xr:uid="{00000000-0005-0000-0000-00009B000000}"/>
    <cellStyle name="Note 2" xfId="147" xr:uid="{00000000-0005-0000-0000-0000A2000000}"/>
    <cellStyle name="Output 2" xfId="148" xr:uid="{00000000-0005-0000-0000-0000A3000000}"/>
    <cellStyle name="Percent 2" xfId="149" xr:uid="{00000000-0005-0000-0000-0000A5000000}"/>
    <cellStyle name="Percent 3" xfId="150" xr:uid="{00000000-0005-0000-0000-0000A6000000}"/>
    <cellStyle name="Title 2" xfId="151" xr:uid="{00000000-0005-0000-0000-0000A7000000}"/>
    <cellStyle name="Total 2" xfId="152" xr:uid="{00000000-0005-0000-0000-0000A8000000}"/>
    <cellStyle name="Warning Text 2" xfId="153" xr:uid="{00000000-0005-0000-0000-0000A9000000}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scserver\clerical%20request\ASU\ASU%202005\Tommy%20AO\2005%20Budget%20&amp;%20Program%20Info\2005%20Ledgers%20and%20Requisition%20Log\FY%2005%20Obj%20Class%20Ledger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edger SUMMARY"/>
      <sheetName val="SAA"/>
      <sheetName val="APS"/>
      <sheetName val="MYM"/>
      <sheetName val="SOA"/>
      <sheetName val="IIIB"/>
      <sheetName val="IIIC1"/>
      <sheetName val="IIIC2"/>
      <sheetName val="NSIP"/>
      <sheetName val="IIID"/>
      <sheetName val="IIIE"/>
      <sheetName val="VII"/>
      <sheetName val="SHIP"/>
      <sheetName val="Programs"/>
      <sheetName val="05 Budget SUMMARY"/>
      <sheetName val="FY05 Requisitions"/>
      <sheetName val="SHIP 04"/>
      <sheetName val="SHIP 0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2">
    <tabColor theme="6" tint="0.79998168889431442"/>
  </sheetPr>
  <dimension ref="A1:BV120"/>
  <sheetViews>
    <sheetView tabSelected="1" view="pageBreakPreview" zoomScaleNormal="118" zoomScaleSheetLayoutView="100" zoomScalePageLayoutView="50" workbookViewId="0">
      <selection activeCell="H31" sqref="H31"/>
    </sheetView>
  </sheetViews>
  <sheetFormatPr defaultColWidth="8.77734375" defaultRowHeight="11.25"/>
  <cols>
    <col min="1" max="1" width="2.77734375" style="9" customWidth="1"/>
    <col min="2" max="2" width="5.77734375" style="9" customWidth="1"/>
    <col min="3" max="3" width="21.44140625" style="9" bestFit="1" customWidth="1"/>
    <col min="4" max="4" width="20.21875" style="9" customWidth="1"/>
    <col min="5" max="5" width="8" style="9" customWidth="1"/>
    <col min="6" max="6" width="8.21875" style="9" customWidth="1"/>
    <col min="7" max="7" width="8.77734375" style="9" customWidth="1"/>
    <col min="8" max="8" width="8.109375" style="9" customWidth="1"/>
    <col min="9" max="9" width="9.44140625" style="9" customWidth="1"/>
    <col min="10" max="10" width="6.77734375" style="9" customWidth="1"/>
    <col min="11" max="11" width="7.6640625" style="9" customWidth="1"/>
    <col min="12" max="12" width="11.6640625" style="9" bestFit="1" customWidth="1"/>
    <col min="13" max="13" width="9.21875" style="9" customWidth="1"/>
    <col min="14" max="14" width="8.6640625" style="9" customWidth="1"/>
    <col min="15" max="15" width="8" style="9" customWidth="1"/>
    <col min="16" max="16" width="6.77734375" style="9" customWidth="1"/>
    <col min="17" max="20" width="8.77734375" style="9" customWidth="1"/>
    <col min="21" max="16384" width="8.77734375" style="9"/>
  </cols>
  <sheetData>
    <row r="1" spans="1:74" ht="15.75">
      <c r="A1" s="3"/>
      <c r="B1" s="3"/>
      <c r="C1" s="3"/>
      <c r="D1" s="3"/>
      <c r="E1" s="3"/>
      <c r="F1" s="19" t="s">
        <v>0</v>
      </c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17" t="s">
        <v>0</v>
      </c>
      <c r="T1" s="3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</row>
    <row r="2" spans="1:74" ht="12.75">
      <c r="A2" s="227" t="s">
        <v>1</v>
      </c>
      <c r="B2" s="227"/>
      <c r="C2" s="227"/>
      <c r="D2" s="103" t="s">
        <v>2</v>
      </c>
      <c r="E2" s="3"/>
      <c r="F2" s="17" t="s">
        <v>0</v>
      </c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</row>
    <row r="3" spans="1:74" ht="12.75">
      <c r="A3" s="67"/>
      <c r="B3" s="67"/>
      <c r="C3" s="67"/>
      <c r="D3" s="10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</row>
    <row r="4" spans="1:74" ht="12.75">
      <c r="A4" s="227" t="s">
        <v>3</v>
      </c>
      <c r="B4" s="227"/>
      <c r="C4" s="227"/>
      <c r="D4" s="103" t="s">
        <v>4</v>
      </c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</row>
    <row r="5" spans="1:74" ht="12.75">
      <c r="A5" s="67"/>
      <c r="B5" s="67"/>
      <c r="C5" s="67"/>
      <c r="D5" s="10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</row>
    <row r="6" spans="1:74" ht="12.75">
      <c r="A6" s="227" t="s">
        <v>5</v>
      </c>
      <c r="B6" s="227"/>
      <c r="C6" s="67"/>
      <c r="D6" s="103" t="s">
        <v>6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</row>
    <row r="7" spans="1:74" ht="12.75">
      <c r="A7" s="67"/>
      <c r="B7" s="67"/>
      <c r="C7" s="67"/>
      <c r="D7" s="10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</row>
    <row r="8" spans="1:74" ht="12.75">
      <c r="A8" s="227" t="s">
        <v>7</v>
      </c>
      <c r="B8" s="227"/>
      <c r="D8" s="103" t="s">
        <v>8</v>
      </c>
      <c r="E8" s="156" t="s">
        <v>9</v>
      </c>
      <c r="F8" s="3"/>
      <c r="G8" s="122"/>
      <c r="H8" s="3"/>
      <c r="I8" s="3"/>
      <c r="J8" s="3"/>
      <c r="K8" s="3"/>
      <c r="L8" s="5"/>
      <c r="M8" s="5"/>
      <c r="N8" s="5"/>
      <c r="O8" s="5"/>
      <c r="P8" s="5"/>
      <c r="Q8" s="5"/>
      <c r="R8" s="5"/>
      <c r="S8" s="5"/>
      <c r="T8" s="3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</row>
    <row r="9" spans="1:74" ht="15.75" thickBot="1">
      <c r="A9" s="3"/>
      <c r="B9" s="3"/>
      <c r="C9" s="3"/>
      <c r="D9" s="3"/>
      <c r="E9" s="3"/>
      <c r="F9"/>
      <c r="G9"/>
      <c r="H9"/>
      <c r="I9"/>
      <c r="J9"/>
      <c r="K9" s="3"/>
      <c r="L9" s="3"/>
      <c r="M9" s="3"/>
      <c r="N9" s="3"/>
      <c r="O9" s="3"/>
      <c r="P9" s="3"/>
      <c r="Q9"/>
      <c r="R9"/>
      <c r="S9" s="3"/>
      <c r="T9" s="3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</row>
    <row r="10" spans="1:74" ht="12.75" thickTop="1" thickBot="1">
      <c r="A10" s="3"/>
      <c r="B10" s="55" t="s">
        <v>10</v>
      </c>
      <c r="C10" s="56"/>
      <c r="D10" s="56"/>
      <c r="E10" s="56"/>
      <c r="F10" s="56"/>
      <c r="G10" s="56"/>
      <c r="H10" s="56"/>
      <c r="I10" s="56"/>
      <c r="J10" s="57"/>
      <c r="K10" s="3"/>
      <c r="L10" s="3"/>
      <c r="M10" s="3"/>
      <c r="N10" s="3"/>
      <c r="O10" s="3"/>
      <c r="P10" s="3"/>
      <c r="Q10" s="55" t="s">
        <v>10</v>
      </c>
      <c r="R10" s="57"/>
      <c r="S10" s="3"/>
      <c r="T10" s="3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</row>
    <row r="11" spans="1:74" ht="12" thickTop="1">
      <c r="A11" s="3"/>
      <c r="B11" s="43"/>
      <c r="C11" s="3"/>
      <c r="D11" s="3"/>
      <c r="E11" s="3"/>
      <c r="F11" s="3"/>
      <c r="G11" s="3"/>
      <c r="H11" s="3"/>
      <c r="I11" s="3"/>
      <c r="J11" s="42"/>
      <c r="K11" s="3"/>
      <c r="L11" s="3"/>
      <c r="M11" s="3"/>
      <c r="N11" s="3"/>
      <c r="O11" s="3"/>
      <c r="P11" s="3"/>
      <c r="Q11" s="43"/>
      <c r="R11" s="42"/>
      <c r="S11" s="3"/>
      <c r="T11" s="3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</row>
    <row r="12" spans="1:74">
      <c r="A12" s="3"/>
      <c r="B12" s="34" t="s">
        <v>11</v>
      </c>
      <c r="C12" s="45" t="s">
        <v>12</v>
      </c>
      <c r="D12" s="4" t="s">
        <v>13</v>
      </c>
      <c r="E12" s="45" t="s">
        <v>14</v>
      </c>
      <c r="F12" s="4" t="s">
        <v>15</v>
      </c>
      <c r="G12" s="32" t="s">
        <v>16</v>
      </c>
      <c r="H12" s="32" t="s">
        <v>17</v>
      </c>
      <c r="I12" s="32" t="s">
        <v>18</v>
      </c>
      <c r="J12" s="59" t="s">
        <v>19</v>
      </c>
      <c r="K12" s="45" t="s">
        <v>20</v>
      </c>
      <c r="L12" s="45" t="s">
        <v>21</v>
      </c>
      <c r="M12" s="4" t="s">
        <v>22</v>
      </c>
      <c r="N12" s="4" t="s">
        <v>23</v>
      </c>
      <c r="O12" s="4" t="s">
        <v>24</v>
      </c>
      <c r="P12" s="4" t="s">
        <v>25</v>
      </c>
      <c r="Q12" s="46" t="s">
        <v>26</v>
      </c>
      <c r="R12" s="59" t="s">
        <v>27</v>
      </c>
      <c r="S12" s="46" t="s">
        <v>28</v>
      </c>
      <c r="T12" s="18" t="s">
        <v>29</v>
      </c>
      <c r="U12" s="18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</row>
    <row r="13" spans="1:74">
      <c r="A13" s="20"/>
      <c r="B13" s="35" t="s">
        <v>0</v>
      </c>
      <c r="C13" s="54"/>
      <c r="D13" s="36" t="s">
        <v>0</v>
      </c>
      <c r="E13" s="36" t="s">
        <v>0</v>
      </c>
      <c r="F13" s="36" t="s">
        <v>0</v>
      </c>
      <c r="G13" s="38"/>
      <c r="H13" s="38" t="s">
        <v>0</v>
      </c>
      <c r="I13" s="223" t="s">
        <v>30</v>
      </c>
      <c r="J13" s="224"/>
      <c r="K13" s="22" t="s">
        <v>0</v>
      </c>
      <c r="L13" s="20"/>
      <c r="M13" s="22"/>
      <c r="N13" s="22"/>
      <c r="O13" s="22" t="s">
        <v>31</v>
      </c>
      <c r="P13" s="22"/>
      <c r="Q13" s="47"/>
      <c r="R13" s="48"/>
      <c r="S13" s="23"/>
      <c r="T13" s="23"/>
      <c r="U13" s="53"/>
      <c r="V13" s="53"/>
      <c r="W13" s="53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</row>
    <row r="14" spans="1:74">
      <c r="A14" s="24"/>
      <c r="B14" s="37" t="s">
        <v>32</v>
      </c>
      <c r="C14" s="38" t="s">
        <v>32</v>
      </c>
      <c r="D14" s="38" t="s">
        <v>33</v>
      </c>
      <c r="E14" s="38" t="s">
        <v>34</v>
      </c>
      <c r="F14" s="38" t="s">
        <v>0</v>
      </c>
      <c r="G14" s="38"/>
      <c r="H14" s="38" t="s">
        <v>0</v>
      </c>
      <c r="I14" s="225"/>
      <c r="J14" s="226"/>
      <c r="K14" s="25" t="s">
        <v>35</v>
      </c>
      <c r="L14" s="21" t="s">
        <v>36</v>
      </c>
      <c r="M14" s="21" t="s">
        <v>37</v>
      </c>
      <c r="N14" s="21" t="s">
        <v>38</v>
      </c>
      <c r="O14" s="21" t="s">
        <v>39</v>
      </c>
      <c r="P14" s="20" t="s">
        <v>40</v>
      </c>
      <c r="Q14" s="35" t="s">
        <v>41</v>
      </c>
      <c r="R14" s="49" t="s">
        <v>42</v>
      </c>
      <c r="S14" s="23" t="s">
        <v>43</v>
      </c>
      <c r="T14" s="26" t="s">
        <v>44</v>
      </c>
      <c r="U14" s="53"/>
      <c r="V14" s="53"/>
      <c r="W14" s="53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</row>
    <row r="15" spans="1:74" ht="12" thickBot="1">
      <c r="A15" s="27" t="s">
        <v>45</v>
      </c>
      <c r="B15" s="39" t="s">
        <v>46</v>
      </c>
      <c r="C15" s="40" t="s">
        <v>47</v>
      </c>
      <c r="D15" s="40" t="s">
        <v>48</v>
      </c>
      <c r="E15" s="40" t="s">
        <v>49</v>
      </c>
      <c r="F15" s="40" t="s">
        <v>50</v>
      </c>
      <c r="G15" s="40" t="s">
        <v>51</v>
      </c>
      <c r="H15" s="40" t="s">
        <v>52</v>
      </c>
      <c r="I15" s="41" t="s">
        <v>53</v>
      </c>
      <c r="J15" s="58" t="s">
        <v>54</v>
      </c>
      <c r="K15" s="31" t="s">
        <v>55</v>
      </c>
      <c r="L15" s="72" t="s">
        <v>56</v>
      </c>
      <c r="M15" s="28" t="s">
        <v>57</v>
      </c>
      <c r="N15" s="28" t="s">
        <v>58</v>
      </c>
      <c r="O15" s="28" t="s">
        <v>59</v>
      </c>
      <c r="P15" s="30" t="s">
        <v>60</v>
      </c>
      <c r="Q15" s="44" t="s">
        <v>61</v>
      </c>
      <c r="R15" s="50" t="s">
        <v>61</v>
      </c>
      <c r="S15" s="31" t="s">
        <v>62</v>
      </c>
      <c r="T15" s="28" t="s">
        <v>63</v>
      </c>
      <c r="U15" s="53"/>
      <c r="V15" s="53"/>
      <c r="W15" s="53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</row>
    <row r="16" spans="1:74" ht="12" thickTop="1">
      <c r="A16" s="6">
        <v>1</v>
      </c>
      <c r="B16" s="105">
        <v>6340</v>
      </c>
      <c r="C16" s="198" t="s">
        <v>64</v>
      </c>
      <c r="D16" s="116" t="s">
        <v>65</v>
      </c>
      <c r="E16" s="106" t="s">
        <v>66</v>
      </c>
      <c r="F16" s="110">
        <v>75392</v>
      </c>
      <c r="G16" s="29">
        <v>0</v>
      </c>
      <c r="H16" s="29">
        <f>+L55</f>
        <v>0</v>
      </c>
      <c r="I16" s="117">
        <v>45813</v>
      </c>
      <c r="J16" s="118">
        <v>797</v>
      </c>
      <c r="K16" s="29">
        <f>(+F16+G16+H16+J16)</f>
        <v>76189</v>
      </c>
      <c r="L16" s="64">
        <f>+ROUND((K16*0.3077),0)</f>
        <v>23443</v>
      </c>
      <c r="M16" s="29">
        <f>ROUNDUP((19.01*26),0)</f>
        <v>495</v>
      </c>
      <c r="N16" s="16">
        <v>0</v>
      </c>
      <c r="O16" s="16">
        <f t="shared" ref="O16" si="0">ROUND((K16*0.0145),0)</f>
        <v>1105</v>
      </c>
      <c r="P16" s="16">
        <v>187</v>
      </c>
      <c r="Q16" s="123">
        <v>11231</v>
      </c>
      <c r="R16" s="123">
        <v>394</v>
      </c>
      <c r="S16" s="16">
        <f t="shared" ref="S16" si="1">+L16+M16+N16+O16+P16+Q16+R16</f>
        <v>36855</v>
      </c>
      <c r="T16" s="16">
        <f>+K16+S16</f>
        <v>113044</v>
      </c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</row>
    <row r="17" spans="1:74">
      <c r="A17" s="6">
        <f>A16+1</f>
        <v>2</v>
      </c>
      <c r="B17" s="105">
        <v>6357</v>
      </c>
      <c r="C17" s="198" t="s">
        <v>67</v>
      </c>
      <c r="D17" s="199" t="s">
        <v>68</v>
      </c>
      <c r="E17" s="106" t="s">
        <v>69</v>
      </c>
      <c r="F17" s="111">
        <v>34853</v>
      </c>
      <c r="G17" s="7">
        <v>0</v>
      </c>
      <c r="H17" s="66">
        <f t="shared" ref="H17:H22" si="2">+L56</f>
        <v>0</v>
      </c>
      <c r="I17" s="117">
        <v>45810</v>
      </c>
      <c r="J17" s="159">
        <v>440</v>
      </c>
      <c r="K17" s="160">
        <f t="shared" ref="K17:K18" si="3">(+F17+G17+H17+J17)</f>
        <v>35293</v>
      </c>
      <c r="L17" s="160">
        <f t="shared" ref="L17:L22" si="4">+ROUND((K17*0.3077),0)</f>
        <v>10860</v>
      </c>
      <c r="M17" s="161">
        <f>ROUNDUP((19.01*26),0)</f>
        <v>495</v>
      </c>
      <c r="N17" s="160">
        <v>0</v>
      </c>
      <c r="O17" s="160">
        <f t="shared" ref="O17:O22" si="5">ROUND((K17*0.0145),0)</f>
        <v>512</v>
      </c>
      <c r="P17" s="160">
        <v>187</v>
      </c>
      <c r="Q17" s="162">
        <v>6929</v>
      </c>
      <c r="R17" s="162">
        <v>394</v>
      </c>
      <c r="S17" s="160">
        <f t="shared" ref="S17:S22" si="6">+L17+M17+N17+O17+P17+Q17+R17</f>
        <v>19377</v>
      </c>
      <c r="T17" s="160">
        <f t="shared" ref="T17:T21" si="7">+K17+S17</f>
        <v>54670</v>
      </c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</row>
    <row r="18" spans="1:74">
      <c r="A18" s="6">
        <f t="shared" ref="A18:A40" si="8">A17+1</f>
        <v>3</v>
      </c>
      <c r="B18" s="105">
        <v>6461</v>
      </c>
      <c r="C18" s="198" t="s">
        <v>70</v>
      </c>
      <c r="D18" s="199" t="s">
        <v>71</v>
      </c>
      <c r="E18" s="106" t="s">
        <v>72</v>
      </c>
      <c r="F18" s="111">
        <v>42388</v>
      </c>
      <c r="G18" s="7">
        <v>0</v>
      </c>
      <c r="H18" s="66">
        <f t="shared" si="2"/>
        <v>0</v>
      </c>
      <c r="I18" s="117">
        <v>45857</v>
      </c>
      <c r="J18" s="163">
        <v>402</v>
      </c>
      <c r="K18" s="160">
        <f t="shared" si="3"/>
        <v>42790</v>
      </c>
      <c r="L18" s="160">
        <f t="shared" si="4"/>
        <v>13166</v>
      </c>
      <c r="M18" s="161">
        <f t="shared" ref="M18:M21" si="9">ROUNDUP((19.01*26),0)</f>
        <v>495</v>
      </c>
      <c r="N18" s="160">
        <v>0</v>
      </c>
      <c r="O18" s="160">
        <f t="shared" si="5"/>
        <v>620</v>
      </c>
      <c r="P18" s="160">
        <v>187</v>
      </c>
      <c r="Q18" s="162">
        <v>15670</v>
      </c>
      <c r="R18" s="162">
        <v>329</v>
      </c>
      <c r="S18" s="160">
        <f t="shared" si="6"/>
        <v>30467</v>
      </c>
      <c r="T18" s="160">
        <f t="shared" si="7"/>
        <v>73257</v>
      </c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</row>
    <row r="19" spans="1:74">
      <c r="A19" s="6">
        <f t="shared" si="8"/>
        <v>4</v>
      </c>
      <c r="B19" s="105">
        <v>6578</v>
      </c>
      <c r="C19" s="198" t="s">
        <v>73</v>
      </c>
      <c r="D19" s="199" t="s">
        <v>74</v>
      </c>
      <c r="E19" s="106" t="s">
        <v>75</v>
      </c>
      <c r="F19" s="111">
        <v>58973</v>
      </c>
      <c r="G19" s="7">
        <v>0</v>
      </c>
      <c r="H19" s="66">
        <f t="shared" si="2"/>
        <v>0</v>
      </c>
      <c r="I19" s="119">
        <v>45967</v>
      </c>
      <c r="J19" s="163">
        <v>0</v>
      </c>
      <c r="K19" s="160">
        <f>(+F19+G19+H19+J19)</f>
        <v>58973</v>
      </c>
      <c r="L19" s="160">
        <f t="shared" si="4"/>
        <v>18146</v>
      </c>
      <c r="M19" s="161">
        <f t="shared" si="9"/>
        <v>495</v>
      </c>
      <c r="N19" s="160">
        <v>0</v>
      </c>
      <c r="O19" s="160">
        <f t="shared" si="5"/>
        <v>855</v>
      </c>
      <c r="P19" s="160">
        <v>187</v>
      </c>
      <c r="Q19" s="162">
        <v>11231</v>
      </c>
      <c r="R19" s="162">
        <v>394</v>
      </c>
      <c r="S19" s="160">
        <f t="shared" si="6"/>
        <v>31308</v>
      </c>
      <c r="T19" s="160">
        <f t="shared" si="7"/>
        <v>90281</v>
      </c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</row>
    <row r="20" spans="1:74">
      <c r="A20" s="6">
        <f t="shared" si="8"/>
        <v>5</v>
      </c>
      <c r="B20" s="107">
        <v>6315</v>
      </c>
      <c r="C20" s="198" t="s">
        <v>67</v>
      </c>
      <c r="D20" s="116" t="s">
        <v>76</v>
      </c>
      <c r="E20" s="106" t="s">
        <v>77</v>
      </c>
      <c r="F20" s="112">
        <v>38967</v>
      </c>
      <c r="G20" s="73">
        <v>0</v>
      </c>
      <c r="H20" s="66">
        <f t="shared" si="2"/>
        <v>0</v>
      </c>
      <c r="I20" s="119">
        <v>45961</v>
      </c>
      <c r="J20" s="163">
        <v>0</v>
      </c>
      <c r="K20" s="164">
        <f t="shared" ref="K20:K22" si="10">(+F20+G20+H20+J20)</f>
        <v>38967</v>
      </c>
      <c r="L20" s="160">
        <f t="shared" si="4"/>
        <v>11990</v>
      </c>
      <c r="M20" s="161">
        <f t="shared" si="9"/>
        <v>495</v>
      </c>
      <c r="N20" s="164">
        <v>0</v>
      </c>
      <c r="O20" s="164">
        <f t="shared" si="5"/>
        <v>565</v>
      </c>
      <c r="P20" s="160">
        <v>187</v>
      </c>
      <c r="Q20" s="162">
        <v>15670</v>
      </c>
      <c r="R20" s="162">
        <v>530</v>
      </c>
      <c r="S20" s="164">
        <f t="shared" si="6"/>
        <v>29437</v>
      </c>
      <c r="T20" s="164">
        <f t="shared" si="7"/>
        <v>68404</v>
      </c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</row>
    <row r="21" spans="1:74">
      <c r="A21" s="6">
        <f t="shared" si="8"/>
        <v>6</v>
      </c>
      <c r="B21" s="108">
        <v>6354</v>
      </c>
      <c r="C21" s="200" t="s">
        <v>78</v>
      </c>
      <c r="D21" s="199" t="s">
        <v>79</v>
      </c>
      <c r="E21" s="109" t="s">
        <v>80</v>
      </c>
      <c r="F21" s="113">
        <v>48758</v>
      </c>
      <c r="G21" s="73">
        <v>0</v>
      </c>
      <c r="H21" s="66">
        <f t="shared" si="2"/>
        <v>0</v>
      </c>
      <c r="I21" s="120">
        <v>46012</v>
      </c>
      <c r="J21" s="163">
        <v>0</v>
      </c>
      <c r="K21" s="164">
        <f t="shared" si="10"/>
        <v>48758</v>
      </c>
      <c r="L21" s="160">
        <f t="shared" si="4"/>
        <v>15003</v>
      </c>
      <c r="M21" s="161">
        <f t="shared" si="9"/>
        <v>495</v>
      </c>
      <c r="N21" s="164">
        <v>0</v>
      </c>
      <c r="O21" s="164">
        <f t="shared" si="5"/>
        <v>707</v>
      </c>
      <c r="P21" s="160">
        <v>187</v>
      </c>
      <c r="Q21" s="162">
        <v>3994</v>
      </c>
      <c r="R21" s="162">
        <v>298</v>
      </c>
      <c r="S21" s="164">
        <f t="shared" si="6"/>
        <v>20684</v>
      </c>
      <c r="T21" s="164">
        <f t="shared" si="7"/>
        <v>69442</v>
      </c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</row>
    <row r="22" spans="1:74">
      <c r="A22" s="6">
        <f t="shared" si="8"/>
        <v>7</v>
      </c>
      <c r="B22" s="115">
        <v>6228</v>
      </c>
      <c r="C22" s="201" t="s">
        <v>81</v>
      </c>
      <c r="D22" s="202" t="s">
        <v>82</v>
      </c>
      <c r="E22" s="106" t="s">
        <v>83</v>
      </c>
      <c r="F22" s="114">
        <f>ROUND((34886*0.5),0)</f>
        <v>17443</v>
      </c>
      <c r="G22" s="73">
        <v>0</v>
      </c>
      <c r="H22" s="66">
        <f t="shared" si="2"/>
        <v>0</v>
      </c>
      <c r="I22" s="121">
        <v>45960</v>
      </c>
      <c r="J22" s="163">
        <v>0</v>
      </c>
      <c r="K22" s="164">
        <f t="shared" si="10"/>
        <v>17443</v>
      </c>
      <c r="L22" s="160">
        <f t="shared" si="4"/>
        <v>5367</v>
      </c>
      <c r="M22" s="161">
        <f>ROUND((495*0.5),0)</f>
        <v>248</v>
      </c>
      <c r="N22" s="164">
        <v>0</v>
      </c>
      <c r="O22" s="164">
        <f t="shared" si="5"/>
        <v>253</v>
      </c>
      <c r="P22" s="160">
        <f>187*0.5</f>
        <v>93.5</v>
      </c>
      <c r="Q22" s="162">
        <f>ROUND((15670*0.5),0)</f>
        <v>7835</v>
      </c>
      <c r="R22" s="162">
        <f>ROUND((530*0.5),0)</f>
        <v>265</v>
      </c>
      <c r="S22" s="164">
        <f t="shared" si="6"/>
        <v>14061.5</v>
      </c>
      <c r="T22" s="164">
        <f>+K22+S22</f>
        <v>31504.5</v>
      </c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</row>
    <row r="23" spans="1:74">
      <c r="A23" s="6">
        <f t="shared" si="8"/>
        <v>8</v>
      </c>
      <c r="B23" s="108">
        <v>6547</v>
      </c>
      <c r="C23" s="200" t="s">
        <v>84</v>
      </c>
      <c r="D23" s="199" t="s">
        <v>85</v>
      </c>
      <c r="E23" s="109" t="s">
        <v>86</v>
      </c>
      <c r="F23" s="113">
        <v>63180</v>
      </c>
      <c r="G23" s="73">
        <v>0</v>
      </c>
      <c r="H23" s="66">
        <f t="shared" ref="H23" si="11">+L62</f>
        <v>0</v>
      </c>
      <c r="I23" s="121">
        <v>46203</v>
      </c>
      <c r="J23" s="163">
        <v>0</v>
      </c>
      <c r="K23" s="164">
        <f t="shared" ref="K23" si="12">(+F23+G23+H23+J23)</f>
        <v>63180</v>
      </c>
      <c r="L23" s="160">
        <f t="shared" ref="L23" si="13">+ROUND((K23*0.3077),0)</f>
        <v>19440</v>
      </c>
      <c r="M23" s="161">
        <f>ROUND((495*0.5),0)</f>
        <v>248</v>
      </c>
      <c r="N23" s="164">
        <v>1</v>
      </c>
      <c r="O23" s="164">
        <f t="shared" ref="O23" si="14">ROUND((K23*0.0145),0)</f>
        <v>916</v>
      </c>
      <c r="P23" s="160">
        <f>187*0.5</f>
        <v>93.5</v>
      </c>
      <c r="Q23" s="162">
        <f>ROUND((15670*0.5),0)</f>
        <v>7835</v>
      </c>
      <c r="R23" s="162">
        <f>ROUND((530*0.5),0)</f>
        <v>265</v>
      </c>
      <c r="S23" s="164">
        <f t="shared" ref="S23" si="15">+L23+M23+N23+O23+P23+Q23+R23</f>
        <v>28798.5</v>
      </c>
      <c r="T23" s="164">
        <f>+K23+S23</f>
        <v>91978.5</v>
      </c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</row>
    <row r="24" spans="1:74">
      <c r="A24" s="6">
        <f t="shared" si="8"/>
        <v>9</v>
      </c>
      <c r="B24" s="115">
        <v>6518</v>
      </c>
      <c r="C24" s="201" t="s">
        <v>87</v>
      </c>
      <c r="D24" s="202" t="s">
        <v>88</v>
      </c>
      <c r="E24" s="106" t="s">
        <v>89</v>
      </c>
      <c r="F24" s="114">
        <v>60875</v>
      </c>
      <c r="G24" s="73">
        <v>0</v>
      </c>
      <c r="H24" s="66">
        <v>0</v>
      </c>
      <c r="I24" s="121">
        <v>46287</v>
      </c>
      <c r="J24" s="118">
        <v>0</v>
      </c>
      <c r="K24" s="164">
        <f t="shared" ref="K24" si="16">(+F24+G24+H24+J24)</f>
        <v>60875</v>
      </c>
      <c r="L24" s="160">
        <f t="shared" ref="L24" si="17">+ROUND((K24*0.3077),0)</f>
        <v>18731</v>
      </c>
      <c r="M24" s="161">
        <f>ROUND((495*0.5),0)</f>
        <v>248</v>
      </c>
      <c r="N24" s="164">
        <v>2</v>
      </c>
      <c r="O24" s="164">
        <f t="shared" ref="O24" si="18">ROUND((K24*0.0145),0)</f>
        <v>883</v>
      </c>
      <c r="P24" s="160">
        <f>187*0.5</f>
        <v>93.5</v>
      </c>
      <c r="Q24" s="162">
        <f>ROUND((15670*0.5),0)</f>
        <v>7835</v>
      </c>
      <c r="R24" s="162">
        <f>ROUND((530*0.5),0)</f>
        <v>265</v>
      </c>
      <c r="S24" s="164">
        <f t="shared" ref="S24" si="19">+L24+M24+N24+O24+P24+Q24+R24</f>
        <v>28057.5</v>
      </c>
      <c r="T24" s="164">
        <f>+K24+S24</f>
        <v>88932.5</v>
      </c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</row>
    <row r="25" spans="1:74">
      <c r="A25" s="6">
        <f t="shared" si="8"/>
        <v>10</v>
      </c>
      <c r="B25" s="69"/>
      <c r="C25" s="68"/>
      <c r="D25" s="70"/>
      <c r="E25" s="70"/>
      <c r="F25" s="7"/>
      <c r="G25" s="7"/>
      <c r="H25" s="66"/>
      <c r="I25" s="78"/>
      <c r="J25" s="79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</row>
    <row r="26" spans="1:74">
      <c r="A26" s="6">
        <f t="shared" si="8"/>
        <v>11</v>
      </c>
      <c r="B26" s="69"/>
      <c r="C26" s="68"/>
      <c r="D26" s="70"/>
      <c r="E26" s="70"/>
      <c r="F26" s="7"/>
      <c r="G26" s="7"/>
      <c r="H26" s="66"/>
      <c r="I26" s="78"/>
      <c r="J26" s="79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</row>
    <row r="27" spans="1:74">
      <c r="A27" s="6">
        <f t="shared" si="8"/>
        <v>12</v>
      </c>
      <c r="B27" s="69"/>
      <c r="C27" s="68"/>
      <c r="D27" s="70"/>
      <c r="E27" s="70"/>
      <c r="F27" s="7"/>
      <c r="G27" s="7"/>
      <c r="H27" s="66"/>
      <c r="I27" s="78"/>
      <c r="J27" s="79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</row>
    <row r="28" spans="1:74">
      <c r="A28" s="6">
        <f t="shared" si="8"/>
        <v>13</v>
      </c>
      <c r="B28" s="69"/>
      <c r="C28" s="68"/>
      <c r="D28" s="70"/>
      <c r="E28" s="70"/>
      <c r="F28" s="7"/>
      <c r="G28" s="7"/>
      <c r="H28" s="66"/>
      <c r="I28" s="78"/>
      <c r="J28" s="79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</row>
    <row r="29" spans="1:74">
      <c r="A29" s="6">
        <f t="shared" si="8"/>
        <v>14</v>
      </c>
      <c r="B29" s="69"/>
      <c r="C29" s="77"/>
      <c r="D29" s="76"/>
      <c r="E29" s="75"/>
      <c r="F29" s="7"/>
      <c r="G29" s="73"/>
      <c r="H29" s="66"/>
      <c r="I29" s="80"/>
      <c r="J29" s="81"/>
      <c r="K29" s="74"/>
      <c r="L29" s="15"/>
      <c r="M29" s="82"/>
      <c r="N29" s="74"/>
      <c r="O29" s="74"/>
      <c r="P29" s="74"/>
      <c r="Q29" s="83"/>
      <c r="R29" s="83"/>
      <c r="S29" s="74"/>
      <c r="T29" s="74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</row>
    <row r="30" spans="1:74">
      <c r="A30" s="6">
        <f t="shared" si="8"/>
        <v>15</v>
      </c>
      <c r="B30" s="6"/>
      <c r="C30" s="52"/>
      <c r="D30" s="52"/>
      <c r="E30" s="52"/>
      <c r="F30" s="7"/>
      <c r="G30" s="7"/>
      <c r="H30" s="66"/>
      <c r="I30" s="78"/>
      <c r="J30" s="79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</row>
    <row r="31" spans="1:74">
      <c r="A31" s="6">
        <f t="shared" si="8"/>
        <v>16</v>
      </c>
      <c r="B31" s="6"/>
      <c r="C31" s="52"/>
      <c r="D31" s="52"/>
      <c r="E31" s="52"/>
      <c r="F31" s="7"/>
      <c r="G31" s="7"/>
      <c r="H31" s="66"/>
      <c r="I31" s="8"/>
      <c r="J31" s="33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</row>
    <row r="32" spans="1:74">
      <c r="A32" s="6">
        <f t="shared" si="8"/>
        <v>17</v>
      </c>
      <c r="B32" s="6"/>
      <c r="C32" s="52"/>
      <c r="D32" s="52"/>
      <c r="E32" s="52"/>
      <c r="F32" s="7"/>
      <c r="G32" s="7"/>
      <c r="H32" s="66"/>
      <c r="I32" s="8"/>
      <c r="J32" s="33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</row>
    <row r="33" spans="1:74">
      <c r="A33" s="6">
        <f t="shared" si="8"/>
        <v>18</v>
      </c>
      <c r="B33" s="6"/>
      <c r="C33" s="52"/>
      <c r="D33" s="52"/>
      <c r="E33" s="52"/>
      <c r="F33" s="7"/>
      <c r="G33" s="7"/>
      <c r="H33" s="66"/>
      <c r="I33" s="8"/>
      <c r="J33" s="33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</row>
    <row r="34" spans="1:74">
      <c r="A34" s="6">
        <f t="shared" si="8"/>
        <v>19</v>
      </c>
      <c r="B34" s="6"/>
      <c r="C34" s="52"/>
      <c r="D34" s="52"/>
      <c r="E34" s="52"/>
      <c r="F34" s="7"/>
      <c r="G34" s="73"/>
      <c r="H34" s="66"/>
      <c r="I34" s="8"/>
      <c r="J34" s="33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</row>
    <row r="35" spans="1:74">
      <c r="A35" s="6">
        <f t="shared" si="8"/>
        <v>20</v>
      </c>
      <c r="B35" s="6"/>
      <c r="C35" s="52"/>
      <c r="D35" s="52"/>
      <c r="E35" s="52"/>
      <c r="F35" s="7"/>
      <c r="G35" s="7"/>
      <c r="H35" s="66"/>
      <c r="I35" s="8"/>
      <c r="J35" s="33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</row>
    <row r="36" spans="1:74">
      <c r="A36" s="6">
        <f t="shared" si="8"/>
        <v>21</v>
      </c>
      <c r="B36" s="6"/>
      <c r="C36" s="52"/>
      <c r="D36" s="52"/>
      <c r="E36" s="52"/>
      <c r="F36" s="7"/>
      <c r="G36" s="7"/>
      <c r="H36" s="66"/>
      <c r="I36" s="8"/>
      <c r="J36" s="33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</row>
    <row r="37" spans="1:74">
      <c r="A37" s="6">
        <f t="shared" si="8"/>
        <v>22</v>
      </c>
      <c r="B37" s="6"/>
      <c r="C37" s="52"/>
      <c r="D37" s="52"/>
      <c r="E37" s="52"/>
      <c r="F37" s="7"/>
      <c r="G37" s="7"/>
      <c r="H37" s="66"/>
      <c r="I37" s="8"/>
      <c r="J37" s="33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</row>
    <row r="38" spans="1:74">
      <c r="A38" s="6">
        <f t="shared" si="8"/>
        <v>23</v>
      </c>
      <c r="B38" s="6"/>
      <c r="C38" s="52"/>
      <c r="D38" s="52"/>
      <c r="E38" s="52"/>
      <c r="F38" s="7"/>
      <c r="G38" s="7"/>
      <c r="H38" s="66"/>
      <c r="I38" s="8"/>
      <c r="J38" s="33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</row>
    <row r="39" spans="1:74">
      <c r="A39" s="6">
        <f t="shared" si="8"/>
        <v>24</v>
      </c>
      <c r="B39" s="6"/>
      <c r="C39" s="52"/>
      <c r="D39" s="52"/>
      <c r="E39" s="52"/>
      <c r="F39" s="7"/>
      <c r="G39" s="73"/>
      <c r="H39" s="66"/>
      <c r="I39" s="8"/>
      <c r="J39" s="33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</row>
    <row r="40" spans="1:74">
      <c r="A40" s="6">
        <f t="shared" si="8"/>
        <v>25</v>
      </c>
      <c r="B40" s="6"/>
      <c r="C40" s="52"/>
      <c r="D40" s="52"/>
      <c r="E40" s="52"/>
      <c r="F40" s="7"/>
      <c r="G40" s="7"/>
      <c r="H40" s="66"/>
      <c r="I40" s="8"/>
      <c r="J40" s="33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</row>
    <row r="41" spans="1:74">
      <c r="A41" s="14"/>
      <c r="B41" s="14"/>
      <c r="C41" s="14"/>
      <c r="D41" s="11" t="s">
        <v>90</v>
      </c>
      <c r="E41" s="13" t="s">
        <v>91</v>
      </c>
      <c r="F41" s="10">
        <f>SUM(F16:F40)</f>
        <v>440829</v>
      </c>
      <c r="G41" s="10">
        <f>SUM(G16:G40)</f>
        <v>0</v>
      </c>
      <c r="H41" s="10">
        <f>SUM(H16:H40)</f>
        <v>0</v>
      </c>
      <c r="I41" s="12" t="s">
        <v>91</v>
      </c>
      <c r="J41" s="10">
        <f>SUM(J16:J40)</f>
        <v>1639</v>
      </c>
      <c r="K41" s="10">
        <f>SUM(K16:K40)</f>
        <v>442468</v>
      </c>
      <c r="L41" s="10">
        <f>SUM(L16:L40)</f>
        <v>136146</v>
      </c>
      <c r="M41" s="10">
        <f t="shared" ref="M41:S41" si="20">SUM(M16:M40)</f>
        <v>3714</v>
      </c>
      <c r="N41" s="10">
        <f t="shared" si="20"/>
        <v>3</v>
      </c>
      <c r="O41" s="16">
        <f t="shared" si="20"/>
        <v>6416</v>
      </c>
      <c r="P41" s="16">
        <f t="shared" si="20"/>
        <v>1402.5</v>
      </c>
      <c r="Q41" s="16">
        <f t="shared" si="20"/>
        <v>88230</v>
      </c>
      <c r="R41" s="16">
        <f t="shared" si="20"/>
        <v>3134</v>
      </c>
      <c r="S41" s="16">
        <f t="shared" si="20"/>
        <v>239045.5</v>
      </c>
      <c r="T41" s="16">
        <f>SUM(T16:T40)</f>
        <v>681513.5</v>
      </c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</row>
    <row r="42" spans="1:74" ht="12.75">
      <c r="A42" s="17" t="s">
        <v>92</v>
      </c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</row>
    <row r="43" spans="1:74" ht="12.75">
      <c r="A43" s="17" t="s">
        <v>93</v>
      </c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</row>
    <row r="44" spans="1:74" ht="12.75">
      <c r="A44" s="71" t="s">
        <v>94</v>
      </c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</row>
    <row r="45" spans="1:74" ht="12.75">
      <c r="A45" s="71" t="s">
        <v>95</v>
      </c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</row>
    <row r="46" spans="1:74" ht="12.75">
      <c r="A46" s="71" t="s">
        <v>96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</row>
    <row r="47" spans="1:74" ht="12" thickBo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</row>
    <row r="48" spans="1:74" ht="12.75" thickTop="1" thickBot="1">
      <c r="A48" s="3"/>
      <c r="B48" s="84" t="s">
        <v>10</v>
      </c>
      <c r="C48" s="85"/>
      <c r="D48" s="85"/>
      <c r="E48" s="85"/>
      <c r="F48" s="85"/>
      <c r="G48" s="85"/>
      <c r="H48" s="85"/>
      <c r="I48" s="85"/>
      <c r="J48" s="86"/>
      <c r="K48" s="87"/>
      <c r="L48" s="88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</row>
    <row r="49" spans="1:66">
      <c r="A49" s="3"/>
      <c r="B49" s="89" t="s">
        <v>97</v>
      </c>
      <c r="C49" s="90"/>
      <c r="D49" s="90"/>
      <c r="E49" s="90"/>
      <c r="F49" s="90"/>
      <c r="G49" s="90"/>
      <c r="H49" s="90"/>
      <c r="I49" s="90"/>
      <c r="J49" s="90"/>
      <c r="K49" s="90"/>
      <c r="L49" s="9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</row>
    <row r="50" spans="1:66">
      <c r="A50" s="3"/>
      <c r="B50" s="92" t="s">
        <v>11</v>
      </c>
      <c r="C50" s="4" t="s">
        <v>12</v>
      </c>
      <c r="D50" s="4" t="s">
        <v>13</v>
      </c>
      <c r="E50" s="4" t="s">
        <v>14</v>
      </c>
      <c r="F50" s="4" t="s">
        <v>15</v>
      </c>
      <c r="G50" s="4" t="s">
        <v>16</v>
      </c>
      <c r="H50" s="4" t="s">
        <v>17</v>
      </c>
      <c r="I50" s="4" t="s">
        <v>18</v>
      </c>
      <c r="J50" s="4" t="s">
        <v>19</v>
      </c>
      <c r="K50" s="4" t="s">
        <v>20</v>
      </c>
      <c r="L50" s="93" t="s">
        <v>21</v>
      </c>
      <c r="M50" s="18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</row>
    <row r="51" spans="1:66">
      <c r="A51" s="3"/>
      <c r="B51" s="92"/>
      <c r="C51" s="45"/>
      <c r="D51" s="4"/>
      <c r="E51" s="45"/>
      <c r="F51" s="11" t="s">
        <v>98</v>
      </c>
      <c r="G51" s="63" t="s">
        <v>99</v>
      </c>
      <c r="H51" s="155" t="s">
        <v>100</v>
      </c>
      <c r="I51" s="155" t="s">
        <v>60</v>
      </c>
      <c r="J51" s="155" t="s">
        <v>101</v>
      </c>
      <c r="K51" s="155" t="s">
        <v>102</v>
      </c>
      <c r="L51" s="94"/>
      <c r="M51" s="18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</row>
    <row r="52" spans="1:66" ht="21.75">
      <c r="A52" s="20"/>
      <c r="B52" s="95" t="s">
        <v>0</v>
      </c>
      <c r="C52" s="54"/>
      <c r="D52" s="36" t="s">
        <v>0</v>
      </c>
      <c r="E52" s="36" t="s">
        <v>103</v>
      </c>
      <c r="F52" s="60" t="s">
        <v>104</v>
      </c>
      <c r="G52" s="38"/>
      <c r="H52" s="38" t="s">
        <v>0</v>
      </c>
      <c r="I52" s="61" t="s">
        <v>105</v>
      </c>
      <c r="J52" s="38" t="s">
        <v>106</v>
      </c>
      <c r="K52" s="38" t="s">
        <v>107</v>
      </c>
      <c r="L52" s="96" t="s">
        <v>0</v>
      </c>
      <c r="M52" s="53"/>
      <c r="N52" s="53"/>
      <c r="O52" s="53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</row>
    <row r="53" spans="1:66">
      <c r="A53" s="24"/>
      <c r="B53" s="97" t="s">
        <v>32</v>
      </c>
      <c r="C53" s="38" t="s">
        <v>32</v>
      </c>
      <c r="D53" s="38" t="s">
        <v>33</v>
      </c>
      <c r="E53" s="38" t="s">
        <v>108</v>
      </c>
      <c r="F53" s="38" t="s">
        <v>108</v>
      </c>
      <c r="G53" s="38" t="s">
        <v>109</v>
      </c>
      <c r="H53" s="38" t="s">
        <v>109</v>
      </c>
      <c r="I53" s="38" t="s">
        <v>108</v>
      </c>
      <c r="J53" s="38" t="s">
        <v>108</v>
      </c>
      <c r="K53" s="38" t="s">
        <v>108</v>
      </c>
      <c r="L53" s="98" t="s">
        <v>110</v>
      </c>
      <c r="M53" s="53"/>
      <c r="N53" s="53"/>
      <c r="O53" s="53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</row>
    <row r="54" spans="1:66" ht="16.5" thickBot="1">
      <c r="A54" s="27" t="s">
        <v>45</v>
      </c>
      <c r="B54" s="99" t="s">
        <v>46</v>
      </c>
      <c r="C54" s="100" t="s">
        <v>111</v>
      </c>
      <c r="D54" s="100" t="s">
        <v>48</v>
      </c>
      <c r="E54" s="100"/>
      <c r="F54" s="101" t="s">
        <v>112</v>
      </c>
      <c r="G54" s="101" t="s">
        <v>112</v>
      </c>
      <c r="H54" s="101" t="s">
        <v>113</v>
      </c>
      <c r="I54" s="101" t="s">
        <v>114</v>
      </c>
      <c r="J54" s="101" t="s">
        <v>114</v>
      </c>
      <c r="K54" s="101" t="s">
        <v>115</v>
      </c>
      <c r="L54" s="102" t="s">
        <v>55</v>
      </c>
      <c r="M54" s="53"/>
      <c r="N54" s="53"/>
      <c r="O54" s="53"/>
      <c r="P54" s="197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</row>
    <row r="55" spans="1:66" ht="21.75">
      <c r="A55" s="6">
        <v>1</v>
      </c>
      <c r="B55" s="51">
        <f t="shared" ref="B55:D55" si="21">+B16</f>
        <v>6340</v>
      </c>
      <c r="C55" s="51" t="str">
        <f t="shared" si="21"/>
        <v>Env. Public Health Officer III</v>
      </c>
      <c r="D55" s="165" t="str">
        <f t="shared" si="21"/>
        <v>Duenas, Katherine B. (11/27/2006)</v>
      </c>
      <c r="E55" s="161">
        <v>0</v>
      </c>
      <c r="F55" s="161">
        <v>0</v>
      </c>
      <c r="G55" s="161">
        <v>0</v>
      </c>
      <c r="H55" s="161">
        <v>0</v>
      </c>
      <c r="I55" s="161">
        <v>0</v>
      </c>
      <c r="J55" s="161">
        <v>0</v>
      </c>
      <c r="K55" s="161">
        <v>0</v>
      </c>
      <c r="L55" s="166">
        <f>+E55+F55+G55+H55+I55+J55+K55</f>
        <v>0</v>
      </c>
      <c r="M55" s="1"/>
      <c r="N55" s="1"/>
      <c r="O55" s="1"/>
      <c r="P55" s="197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</row>
    <row r="56" spans="1:66" ht="15.75">
      <c r="A56" s="6">
        <f>A55+1</f>
        <v>2</v>
      </c>
      <c r="B56" s="51">
        <f t="shared" ref="B56:D56" si="22">+B17</f>
        <v>6357</v>
      </c>
      <c r="C56" s="51" t="str">
        <f t="shared" si="22"/>
        <v>Customer Service Rep.</v>
      </c>
      <c r="D56" s="165" t="str">
        <f t="shared" si="22"/>
        <v>Castro, Mary M.  (06/2/2022)</v>
      </c>
      <c r="E56" s="161">
        <v>0</v>
      </c>
      <c r="F56" s="161">
        <v>0</v>
      </c>
      <c r="G56" s="161">
        <v>0</v>
      </c>
      <c r="H56" s="161">
        <v>0</v>
      </c>
      <c r="I56" s="161">
        <v>0</v>
      </c>
      <c r="J56" s="161">
        <v>0</v>
      </c>
      <c r="K56" s="161">
        <v>0</v>
      </c>
      <c r="L56" s="166">
        <f t="shared" ref="L56:L61" si="23">+E56+F56+G56+H56+I56+J56+K56</f>
        <v>0</v>
      </c>
      <c r="M56" s="1"/>
      <c r="N56" s="1"/>
      <c r="O56" s="1"/>
      <c r="P56" s="197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</row>
    <row r="57" spans="1:66" ht="15.75">
      <c r="A57" s="6">
        <f t="shared" ref="A57:A79" si="24">A56+1</f>
        <v>3</v>
      </c>
      <c r="B57" s="51">
        <f t="shared" ref="B57:D57" si="25">+B18</f>
        <v>6461</v>
      </c>
      <c r="C57" s="51" t="str">
        <f t="shared" si="25"/>
        <v>Customer Service Rep. Supr.</v>
      </c>
      <c r="D57" s="165" t="str">
        <f t="shared" si="25"/>
        <v>Figir, Esther A.  (07/19/2021)</v>
      </c>
      <c r="E57" s="161">
        <v>0</v>
      </c>
      <c r="F57" s="161">
        <v>0</v>
      </c>
      <c r="G57" s="161">
        <v>0</v>
      </c>
      <c r="H57" s="161">
        <v>0</v>
      </c>
      <c r="I57" s="161">
        <v>0</v>
      </c>
      <c r="J57" s="161">
        <v>0</v>
      </c>
      <c r="K57" s="161">
        <v>0</v>
      </c>
      <c r="L57" s="166">
        <f t="shared" si="23"/>
        <v>0</v>
      </c>
      <c r="M57" s="1"/>
      <c r="N57" s="1"/>
      <c r="O57" s="1"/>
      <c r="P57" s="197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</row>
    <row r="58" spans="1:66" ht="15.75">
      <c r="A58" s="6">
        <f t="shared" si="24"/>
        <v>4</v>
      </c>
      <c r="B58" s="51">
        <f t="shared" ref="B58:D58" si="26">+B19</f>
        <v>6578</v>
      </c>
      <c r="C58" s="51" t="str">
        <f t="shared" si="26"/>
        <v>Administrative Assistant</v>
      </c>
      <c r="D58" s="165" t="str">
        <f t="shared" si="26"/>
        <v>Barcinas, Terry T. (02/28/2005)</v>
      </c>
      <c r="E58" s="161">
        <v>0</v>
      </c>
      <c r="F58" s="161">
        <v>0</v>
      </c>
      <c r="G58" s="161">
        <v>0</v>
      </c>
      <c r="H58" s="161">
        <v>0</v>
      </c>
      <c r="I58" s="161">
        <v>0</v>
      </c>
      <c r="J58" s="161">
        <v>0</v>
      </c>
      <c r="K58" s="161">
        <v>0</v>
      </c>
      <c r="L58" s="166">
        <f t="shared" si="23"/>
        <v>0</v>
      </c>
      <c r="M58" s="1"/>
      <c r="N58" s="1"/>
      <c r="O58" s="1"/>
      <c r="P58" s="197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</row>
    <row r="59" spans="1:66" ht="15.75">
      <c r="A59" s="6">
        <f t="shared" si="24"/>
        <v>5</v>
      </c>
      <c r="B59" s="51">
        <f t="shared" ref="B59:D59" si="27">+B20</f>
        <v>6315</v>
      </c>
      <c r="C59" s="51" t="str">
        <f t="shared" si="27"/>
        <v>Customer Service Rep.</v>
      </c>
      <c r="D59" s="165" t="str">
        <f t="shared" si="27"/>
        <v>Lujan, Michico J. (10/31/2022)</v>
      </c>
      <c r="E59" s="161">
        <v>0</v>
      </c>
      <c r="F59" s="161">
        <v>0</v>
      </c>
      <c r="G59" s="161">
        <v>0</v>
      </c>
      <c r="H59" s="161">
        <v>0</v>
      </c>
      <c r="I59" s="161">
        <v>0</v>
      </c>
      <c r="J59" s="161">
        <v>0</v>
      </c>
      <c r="K59" s="161">
        <v>0</v>
      </c>
      <c r="L59" s="166">
        <f t="shared" si="23"/>
        <v>0</v>
      </c>
      <c r="M59" s="1"/>
      <c r="N59" s="1"/>
      <c r="O59" s="1"/>
      <c r="P59" s="197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</row>
    <row r="60" spans="1:66" ht="15.75">
      <c r="A60" s="6">
        <f t="shared" si="24"/>
        <v>6</v>
      </c>
      <c r="B60" s="51">
        <f t="shared" ref="B60:D60" si="28">+B21</f>
        <v>6354</v>
      </c>
      <c r="C60" s="51" t="str">
        <f t="shared" si="28"/>
        <v>Env. Public Health Officer I</v>
      </c>
      <c r="D60" s="165" t="str">
        <f t="shared" si="28"/>
        <v>Untalan, Samuel (12/21/2022)</v>
      </c>
      <c r="E60" s="161">
        <v>0</v>
      </c>
      <c r="F60" s="161">
        <v>0</v>
      </c>
      <c r="G60" s="161">
        <v>0</v>
      </c>
      <c r="H60" s="161">
        <v>0</v>
      </c>
      <c r="I60" s="161">
        <v>0</v>
      </c>
      <c r="J60" s="161">
        <v>0</v>
      </c>
      <c r="K60" s="161">
        <v>0</v>
      </c>
      <c r="L60" s="166">
        <f t="shared" si="23"/>
        <v>0</v>
      </c>
      <c r="M60" s="1"/>
      <c r="N60" s="1"/>
      <c r="O60" s="1"/>
      <c r="P60" s="197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</row>
    <row r="61" spans="1:66">
      <c r="A61" s="6">
        <f t="shared" si="24"/>
        <v>7</v>
      </c>
      <c r="B61" s="51">
        <f t="shared" ref="B61:D61" si="29">+B22</f>
        <v>6228</v>
      </c>
      <c r="C61" s="51" t="str">
        <f t="shared" si="29"/>
        <v>Environmental Tech II</v>
      </c>
      <c r="D61" s="165" t="str">
        <f t="shared" si="29"/>
        <v>Lujan, Emorin (50%) (10/30/2024)</v>
      </c>
      <c r="E61" s="161">
        <v>0</v>
      </c>
      <c r="F61" s="161">
        <v>0</v>
      </c>
      <c r="G61" s="161">
        <v>0</v>
      </c>
      <c r="H61" s="161">
        <v>0</v>
      </c>
      <c r="I61" s="161">
        <v>0</v>
      </c>
      <c r="J61" s="161">
        <v>0</v>
      </c>
      <c r="K61" s="161">
        <v>0</v>
      </c>
      <c r="L61" s="166">
        <f t="shared" si="23"/>
        <v>0</v>
      </c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</row>
    <row r="62" spans="1:66">
      <c r="A62" s="6">
        <f t="shared" si="24"/>
        <v>8</v>
      </c>
      <c r="B62" s="108">
        <v>6547</v>
      </c>
      <c r="C62" s="170" t="s">
        <v>84</v>
      </c>
      <c r="D62" s="169" t="s">
        <v>85</v>
      </c>
      <c r="E62" s="161">
        <v>0</v>
      </c>
      <c r="F62" s="161">
        <v>0</v>
      </c>
      <c r="G62" s="161">
        <v>0</v>
      </c>
      <c r="H62" s="161">
        <v>0</v>
      </c>
      <c r="I62" s="161">
        <v>0</v>
      </c>
      <c r="J62" s="161">
        <v>0</v>
      </c>
      <c r="K62" s="161">
        <v>0</v>
      </c>
      <c r="L62" s="166">
        <f t="shared" ref="L62" si="30">+E62+F62+G62+H62+I62+J62+K62</f>
        <v>0</v>
      </c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</row>
    <row r="63" spans="1:66">
      <c r="A63" s="6">
        <f t="shared" si="24"/>
        <v>9</v>
      </c>
      <c r="B63" s="115">
        <v>6518</v>
      </c>
      <c r="C63" s="171" t="s">
        <v>87</v>
      </c>
      <c r="D63" s="172" t="s">
        <v>88</v>
      </c>
      <c r="E63" s="161">
        <v>0</v>
      </c>
      <c r="F63" s="161">
        <v>0</v>
      </c>
      <c r="G63" s="161">
        <v>0</v>
      </c>
      <c r="H63" s="161">
        <v>0</v>
      </c>
      <c r="I63" s="161">
        <v>0</v>
      </c>
      <c r="J63" s="161">
        <v>0</v>
      </c>
      <c r="K63" s="161">
        <v>0</v>
      </c>
      <c r="L63" s="166">
        <f t="shared" ref="L63" si="31">+E63+F63+G63+H63+I63+J63+K63</f>
        <v>0</v>
      </c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</row>
    <row r="64" spans="1:66">
      <c r="A64" s="6">
        <f t="shared" si="24"/>
        <v>10</v>
      </c>
      <c r="B64" s="51"/>
      <c r="C64" s="51"/>
      <c r="D64" s="165"/>
      <c r="E64" s="29"/>
      <c r="F64" s="29"/>
      <c r="G64" s="29"/>
      <c r="H64" s="29"/>
      <c r="I64" s="29"/>
      <c r="J64" s="29"/>
      <c r="K64" s="29"/>
      <c r="L64" s="65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</row>
    <row r="65" spans="1:66">
      <c r="A65" s="6">
        <f t="shared" si="24"/>
        <v>11</v>
      </c>
      <c r="B65" s="51"/>
      <c r="C65" s="51"/>
      <c r="D65" s="165"/>
      <c r="E65" s="29"/>
      <c r="F65" s="29"/>
      <c r="G65" s="29"/>
      <c r="H65" s="29"/>
      <c r="I65" s="29"/>
      <c r="J65" s="29"/>
      <c r="K65" s="29"/>
      <c r="L65" s="65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</row>
    <row r="66" spans="1:66">
      <c r="A66" s="6">
        <f t="shared" si="24"/>
        <v>12</v>
      </c>
      <c r="B66" s="51"/>
      <c r="C66" s="51"/>
      <c r="D66" s="165"/>
      <c r="E66" s="29"/>
      <c r="F66" s="29"/>
      <c r="G66" s="29"/>
      <c r="H66" s="29"/>
      <c r="I66" s="29"/>
      <c r="J66" s="29"/>
      <c r="K66" s="29"/>
      <c r="L66" s="65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</row>
    <row r="67" spans="1:66">
      <c r="A67" s="6">
        <f t="shared" si="24"/>
        <v>13</v>
      </c>
      <c r="B67" s="51"/>
      <c r="C67" s="51"/>
      <c r="D67" s="165"/>
      <c r="E67" s="29"/>
      <c r="F67" s="29"/>
      <c r="G67" s="29"/>
      <c r="H67" s="29"/>
      <c r="I67" s="29"/>
      <c r="J67" s="29"/>
      <c r="K67" s="29"/>
      <c r="L67" s="65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</row>
    <row r="68" spans="1:66">
      <c r="A68" s="6">
        <f t="shared" si="24"/>
        <v>14</v>
      </c>
      <c r="B68" s="51"/>
      <c r="C68" s="51"/>
      <c r="D68" s="165"/>
      <c r="E68" s="29"/>
      <c r="F68" s="29"/>
      <c r="G68" s="29"/>
      <c r="H68" s="29"/>
      <c r="I68" s="29"/>
      <c r="J68" s="29"/>
      <c r="K68" s="29"/>
      <c r="L68" s="65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</row>
    <row r="69" spans="1:66">
      <c r="A69" s="6">
        <f t="shared" si="24"/>
        <v>15</v>
      </c>
      <c r="B69" s="51"/>
      <c r="C69" s="51"/>
      <c r="D69" s="165"/>
      <c r="E69" s="29"/>
      <c r="F69" s="29"/>
      <c r="G69" s="29"/>
      <c r="H69" s="29"/>
      <c r="I69" s="29"/>
      <c r="J69" s="29"/>
      <c r="K69" s="29"/>
      <c r="L69" s="65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</row>
    <row r="70" spans="1:66">
      <c r="A70" s="6">
        <f t="shared" si="24"/>
        <v>16</v>
      </c>
      <c r="B70" s="51"/>
      <c r="C70" s="51"/>
      <c r="D70" s="51"/>
      <c r="E70" s="7"/>
      <c r="F70" s="7"/>
      <c r="G70" s="7"/>
      <c r="H70" s="7"/>
      <c r="I70" s="7"/>
      <c r="J70" s="33"/>
      <c r="K70" s="33"/>
      <c r="L70" s="15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</row>
    <row r="71" spans="1:66">
      <c r="A71" s="6">
        <f t="shared" si="24"/>
        <v>17</v>
      </c>
      <c r="B71" s="51"/>
      <c r="C71" s="51"/>
      <c r="D71" s="51"/>
      <c r="E71" s="7"/>
      <c r="F71" s="7"/>
      <c r="G71" s="7"/>
      <c r="H71" s="7"/>
      <c r="I71" s="7"/>
      <c r="J71" s="33"/>
      <c r="K71" s="33"/>
      <c r="L71" s="15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</row>
    <row r="72" spans="1:66">
      <c r="A72" s="6">
        <f t="shared" si="24"/>
        <v>18</v>
      </c>
      <c r="B72" s="51"/>
      <c r="C72" s="51"/>
      <c r="D72" s="51"/>
      <c r="E72" s="7"/>
      <c r="F72" s="7"/>
      <c r="G72" s="7"/>
      <c r="H72" s="7"/>
      <c r="I72" s="7"/>
      <c r="J72" s="33"/>
      <c r="K72" s="33"/>
      <c r="L72" s="15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</row>
    <row r="73" spans="1:66">
      <c r="A73" s="6">
        <f t="shared" si="24"/>
        <v>19</v>
      </c>
      <c r="B73" s="51"/>
      <c r="C73" s="51"/>
      <c r="D73" s="51"/>
      <c r="E73" s="7"/>
      <c r="F73" s="7"/>
      <c r="G73" s="7"/>
      <c r="H73" s="7"/>
      <c r="I73" s="7"/>
      <c r="J73" s="33"/>
      <c r="K73" s="33"/>
      <c r="L73" s="15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</row>
    <row r="74" spans="1:66">
      <c r="A74" s="6">
        <f t="shared" si="24"/>
        <v>20</v>
      </c>
      <c r="B74" s="51"/>
      <c r="C74" s="51"/>
      <c r="D74" s="51"/>
      <c r="E74" s="7"/>
      <c r="F74" s="7"/>
      <c r="G74" s="7"/>
      <c r="H74" s="7"/>
      <c r="I74" s="7"/>
      <c r="J74" s="33"/>
      <c r="K74" s="33"/>
      <c r="L74" s="15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</row>
    <row r="75" spans="1:66">
      <c r="A75" s="6">
        <f t="shared" si="24"/>
        <v>21</v>
      </c>
      <c r="B75" s="51"/>
      <c r="C75" s="51"/>
      <c r="D75" s="51"/>
      <c r="E75" s="7"/>
      <c r="F75" s="7"/>
      <c r="G75" s="7"/>
      <c r="H75" s="7"/>
      <c r="I75" s="7"/>
      <c r="J75" s="33"/>
      <c r="K75" s="33"/>
      <c r="L75" s="15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</row>
    <row r="76" spans="1:66">
      <c r="A76" s="6">
        <f t="shared" si="24"/>
        <v>22</v>
      </c>
      <c r="B76" s="51"/>
      <c r="C76" s="51"/>
      <c r="D76" s="51"/>
      <c r="E76" s="7"/>
      <c r="F76" s="7"/>
      <c r="G76" s="7"/>
      <c r="H76" s="7"/>
      <c r="I76" s="7"/>
      <c r="J76" s="33"/>
      <c r="K76" s="33"/>
      <c r="L76" s="15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</row>
    <row r="77" spans="1:66">
      <c r="A77" s="6">
        <f t="shared" si="24"/>
        <v>23</v>
      </c>
      <c r="B77" s="51"/>
      <c r="C77" s="51"/>
      <c r="D77" s="51"/>
      <c r="E77" s="7"/>
      <c r="F77" s="7"/>
      <c r="G77" s="7"/>
      <c r="H77" s="7"/>
      <c r="I77" s="7"/>
      <c r="J77" s="33"/>
      <c r="K77" s="33"/>
      <c r="L77" s="15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</row>
    <row r="78" spans="1:66">
      <c r="A78" s="6">
        <f t="shared" si="24"/>
        <v>24</v>
      </c>
      <c r="B78" s="51"/>
      <c r="C78" s="51"/>
      <c r="D78" s="51"/>
      <c r="E78" s="7"/>
      <c r="F78" s="7"/>
      <c r="G78" s="7"/>
      <c r="H78" s="7"/>
      <c r="I78" s="7"/>
      <c r="J78" s="33"/>
      <c r="K78" s="33"/>
      <c r="L78" s="15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</row>
    <row r="79" spans="1:66">
      <c r="A79" s="6">
        <f t="shared" si="24"/>
        <v>25</v>
      </c>
      <c r="B79" s="51"/>
      <c r="C79" s="51"/>
      <c r="D79" s="51"/>
      <c r="E79" s="7"/>
      <c r="F79" s="7"/>
      <c r="G79" s="7"/>
      <c r="H79" s="7"/>
      <c r="I79" s="7"/>
      <c r="J79" s="33"/>
      <c r="K79" s="33"/>
      <c r="L79" s="15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</row>
    <row r="80" spans="1:66">
      <c r="A80" s="14"/>
      <c r="B80" s="14"/>
      <c r="C80" s="14"/>
      <c r="D80" s="11" t="s">
        <v>90</v>
      </c>
      <c r="E80" s="10">
        <f t="shared" ref="E80:L80" si="32">SUM(E55:E79)</f>
        <v>0</v>
      </c>
      <c r="F80" s="10">
        <f t="shared" si="32"/>
        <v>0</v>
      </c>
      <c r="G80" s="10">
        <f t="shared" si="32"/>
        <v>0</v>
      </c>
      <c r="H80" s="10">
        <f t="shared" si="32"/>
        <v>0</v>
      </c>
      <c r="I80" s="10">
        <f t="shared" si="32"/>
        <v>0</v>
      </c>
      <c r="J80" s="10">
        <f t="shared" si="32"/>
        <v>0</v>
      </c>
      <c r="K80" s="10">
        <f t="shared" si="32"/>
        <v>0</v>
      </c>
      <c r="L80" s="10">
        <f t="shared" si="32"/>
        <v>0</v>
      </c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</row>
    <row r="81" spans="1:56">
      <c r="A81" s="3" t="s">
        <v>98</v>
      </c>
      <c r="B81" s="3" t="s">
        <v>116</v>
      </c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</row>
    <row r="82" spans="1:56">
      <c r="A82" s="3" t="s">
        <v>99</v>
      </c>
      <c r="B82" s="3" t="s">
        <v>117</v>
      </c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</row>
    <row r="83" spans="1:56">
      <c r="A83" s="3" t="s">
        <v>100</v>
      </c>
      <c r="B83" s="3" t="s">
        <v>118</v>
      </c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</row>
    <row r="84" spans="1:56">
      <c r="A84" s="3" t="s">
        <v>60</v>
      </c>
      <c r="B84" s="3" t="s">
        <v>119</v>
      </c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</row>
    <row r="85" spans="1:56">
      <c r="A85" s="3" t="s">
        <v>101</v>
      </c>
      <c r="B85" s="3" t="s">
        <v>120</v>
      </c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</row>
    <row r="86" spans="1:56">
      <c r="A86" s="3" t="s">
        <v>102</v>
      </c>
      <c r="B86" s="3" t="s">
        <v>121</v>
      </c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</row>
    <row r="87" spans="1:56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</row>
    <row r="88" spans="1:56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</row>
    <row r="89" spans="1:56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</row>
    <row r="90" spans="1:56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</row>
    <row r="91" spans="1:56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</row>
    <row r="92" spans="1:56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</row>
    <row r="93" spans="1:56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</row>
    <row r="94" spans="1:56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</row>
    <row r="95" spans="1:56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</row>
    <row r="96" spans="1:56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</row>
    <row r="97" spans="1:56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</row>
    <row r="98" spans="1:56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</row>
    <row r="99" spans="1:56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</row>
    <row r="100" spans="1:56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</row>
    <row r="101" spans="1:56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</row>
    <row r="102" spans="1:56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</row>
    <row r="103" spans="1:56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</row>
    <row r="104" spans="1:56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</row>
    <row r="105" spans="1:56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</row>
    <row r="106" spans="1:56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</row>
    <row r="107" spans="1:56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</row>
    <row r="108" spans="1:56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</row>
    <row r="109" spans="1:56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</row>
    <row r="110" spans="1:56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</row>
    <row r="111" spans="1:56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</row>
    <row r="112" spans="1:56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</row>
    <row r="113" spans="1:27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</row>
    <row r="114" spans="1:27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</row>
    <row r="115" spans="1:27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</row>
    <row r="116" spans="1:27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</row>
    <row r="117" spans="1:27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</row>
    <row r="118" spans="1:27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</row>
    <row r="119" spans="1:27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</row>
    <row r="120" spans="1:27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</row>
  </sheetData>
  <mergeCells count="5">
    <mergeCell ref="I13:J14"/>
    <mergeCell ref="A2:C2"/>
    <mergeCell ref="A4:C4"/>
    <mergeCell ref="A6:B6"/>
    <mergeCell ref="A8:B8"/>
  </mergeCells>
  <phoneticPr fontId="6" type="noConversion"/>
  <printOptions horizontalCentered="1"/>
  <pageMargins left="0.19685039370078741" right="0.19685039370078741" top="0.98425196850393704" bottom="0.23622047244094491" header="0.31496062992125984" footer="0.31496062992125984"/>
  <pageSetup paperSize="5" scale="63" orientation="landscape" r:id="rId1"/>
  <headerFooter>
    <oddHeader>&amp;C&amp;"Times New Roman,Bold"Government of Guam
Fiscal Year 2025, Quarter 4
Agency Staffing Pattern</oddHeader>
  </headerFooter>
  <rowBreaks count="1" manualBreakCount="1">
    <brk id="46" max="16383" man="1"/>
  </rowBreak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09B088-E4DF-4948-BD76-6F3D7C079F65}">
  <sheetPr>
    <tabColor theme="6" tint="0.79998168889431442"/>
  </sheetPr>
  <dimension ref="A1:BV87"/>
  <sheetViews>
    <sheetView view="pageBreakPreview" topLeftCell="A6" zoomScale="115" zoomScaleNormal="124" zoomScaleSheetLayoutView="115" zoomScalePageLayoutView="50" workbookViewId="0">
      <selection activeCell="H31" sqref="H31"/>
    </sheetView>
  </sheetViews>
  <sheetFormatPr defaultColWidth="8.77734375" defaultRowHeight="11.25"/>
  <cols>
    <col min="1" max="1" width="2.77734375" style="9" customWidth="1"/>
    <col min="2" max="2" width="6.77734375" style="9" customWidth="1"/>
    <col min="3" max="3" width="23" style="9" customWidth="1"/>
    <col min="4" max="4" width="20.77734375" style="9" customWidth="1"/>
    <col min="5" max="5" width="8" style="9" customWidth="1"/>
    <col min="6" max="6" width="8.21875" style="9" customWidth="1"/>
    <col min="7" max="7" width="8.77734375" style="9" customWidth="1"/>
    <col min="8" max="8" width="8.109375" style="9" customWidth="1"/>
    <col min="9" max="9" width="9.44140625" style="9" customWidth="1"/>
    <col min="10" max="10" width="6.77734375" style="9" customWidth="1"/>
    <col min="11" max="11" width="7.6640625" style="9" customWidth="1"/>
    <col min="12" max="12" width="11.6640625" style="9" bestFit="1" customWidth="1"/>
    <col min="13" max="13" width="9.21875" style="9" customWidth="1"/>
    <col min="14" max="14" width="8.6640625" style="9" customWidth="1"/>
    <col min="15" max="15" width="8" style="9" customWidth="1"/>
    <col min="16" max="16" width="6.77734375" style="9" customWidth="1"/>
    <col min="17" max="20" width="8.77734375" style="9" customWidth="1"/>
    <col min="21" max="16384" width="8.77734375" style="9"/>
  </cols>
  <sheetData>
    <row r="1" spans="1:74" ht="15.75">
      <c r="A1" s="3"/>
      <c r="B1" s="3"/>
      <c r="C1" s="3"/>
      <c r="D1" s="3"/>
      <c r="E1" s="3"/>
      <c r="F1" s="19" t="s">
        <v>0</v>
      </c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17" t="s">
        <v>0</v>
      </c>
      <c r="T1" s="3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</row>
    <row r="2" spans="1:74" ht="12.75">
      <c r="A2" s="227" t="s">
        <v>1</v>
      </c>
      <c r="B2" s="227"/>
      <c r="C2" s="227"/>
      <c r="D2" s="103" t="s">
        <v>2</v>
      </c>
      <c r="E2" s="3"/>
      <c r="F2" s="17" t="s">
        <v>0</v>
      </c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</row>
    <row r="3" spans="1:74" ht="8.1" customHeight="1">
      <c r="A3" s="67"/>
      <c r="B3" s="67"/>
      <c r="C3" s="67"/>
      <c r="D3" s="10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</row>
    <row r="4" spans="1:74" ht="12.75">
      <c r="A4" s="227" t="s">
        <v>3</v>
      </c>
      <c r="B4" s="227"/>
      <c r="C4" s="227"/>
      <c r="D4" s="103" t="s">
        <v>4</v>
      </c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</row>
    <row r="5" spans="1:74" ht="8.1" customHeight="1">
      <c r="A5" s="67"/>
      <c r="B5" s="67"/>
      <c r="C5" s="67"/>
      <c r="D5" s="10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</row>
    <row r="6" spans="1:74" ht="12.75">
      <c r="A6" s="227" t="s">
        <v>5</v>
      </c>
      <c r="B6" s="227"/>
      <c r="C6" s="67"/>
      <c r="D6" s="103" t="s">
        <v>6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</row>
    <row r="7" spans="1:74" ht="8.1" customHeight="1">
      <c r="A7" s="67"/>
      <c r="B7" s="67"/>
      <c r="C7" s="67"/>
      <c r="D7" s="10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</row>
    <row r="8" spans="1:74" ht="25.5">
      <c r="A8" s="227" t="s">
        <v>7</v>
      </c>
      <c r="B8" s="227"/>
      <c r="D8" s="157" t="s">
        <v>122</v>
      </c>
      <c r="E8" s="158" t="s">
        <v>123</v>
      </c>
      <c r="G8" s="122"/>
      <c r="H8" s="3"/>
      <c r="I8" s="3"/>
      <c r="J8" s="3"/>
      <c r="K8" s="3"/>
      <c r="L8" s="5" t="s">
        <v>0</v>
      </c>
      <c r="M8" s="5"/>
      <c r="N8" s="5"/>
      <c r="O8" s="5"/>
      <c r="P8" s="5"/>
      <c r="Q8" s="5"/>
      <c r="R8" s="5"/>
      <c r="S8" s="5"/>
      <c r="T8" s="3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</row>
    <row r="9" spans="1:74" ht="15.75" thickBot="1">
      <c r="A9" s="3"/>
      <c r="B9" s="3"/>
      <c r="C9" s="3"/>
      <c r="D9" s="3"/>
      <c r="E9" s="3"/>
      <c r="F9"/>
      <c r="G9"/>
      <c r="H9"/>
      <c r="I9"/>
      <c r="J9"/>
      <c r="K9" s="3"/>
      <c r="L9" s="3"/>
      <c r="M9" s="3"/>
      <c r="N9" s="3"/>
      <c r="O9" s="3"/>
      <c r="P9" s="3"/>
      <c r="Q9"/>
      <c r="R9"/>
      <c r="S9" s="3"/>
      <c r="T9" s="3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</row>
    <row r="10" spans="1:74" ht="12.75" thickTop="1" thickBot="1">
      <c r="A10" s="3"/>
      <c r="B10" s="55" t="s">
        <v>10</v>
      </c>
      <c r="C10" s="56"/>
      <c r="D10" s="56"/>
      <c r="E10" s="56"/>
      <c r="F10" s="56"/>
      <c r="G10" s="56"/>
      <c r="H10" s="56"/>
      <c r="I10" s="56"/>
      <c r="J10" s="57"/>
      <c r="K10" s="3"/>
      <c r="L10" s="3"/>
      <c r="M10" s="3"/>
      <c r="N10" s="3"/>
      <c r="O10" s="3"/>
      <c r="P10" s="3"/>
      <c r="Q10" s="55" t="s">
        <v>10</v>
      </c>
      <c r="R10" s="57"/>
      <c r="S10" s="3"/>
      <c r="T10" s="3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</row>
    <row r="11" spans="1:74" ht="12" thickTop="1">
      <c r="A11" s="3"/>
      <c r="B11" s="43"/>
      <c r="C11" s="3"/>
      <c r="D11" s="3"/>
      <c r="E11" s="3"/>
      <c r="F11" s="3"/>
      <c r="G11" s="3"/>
      <c r="H11" s="3"/>
      <c r="I11" s="3"/>
      <c r="J11" s="42"/>
      <c r="K11" s="3"/>
      <c r="L11" s="3"/>
      <c r="M11" s="3"/>
      <c r="N11" s="3"/>
      <c r="O11" s="3"/>
      <c r="P11" s="3"/>
      <c r="Q11" s="43"/>
      <c r="R11" s="42"/>
      <c r="S11" s="3"/>
      <c r="T11" s="3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</row>
    <row r="12" spans="1:74">
      <c r="A12" s="3"/>
      <c r="B12" s="34" t="s">
        <v>11</v>
      </c>
      <c r="C12" s="45" t="s">
        <v>12</v>
      </c>
      <c r="D12" s="4" t="s">
        <v>13</v>
      </c>
      <c r="E12" s="45" t="s">
        <v>14</v>
      </c>
      <c r="F12" s="4" t="s">
        <v>15</v>
      </c>
      <c r="G12" s="32" t="s">
        <v>16</v>
      </c>
      <c r="H12" s="32" t="s">
        <v>17</v>
      </c>
      <c r="I12" s="32" t="s">
        <v>18</v>
      </c>
      <c r="J12" s="59" t="s">
        <v>19</v>
      </c>
      <c r="K12" s="45" t="s">
        <v>20</v>
      </c>
      <c r="L12" s="45" t="s">
        <v>21</v>
      </c>
      <c r="M12" s="4" t="s">
        <v>22</v>
      </c>
      <c r="N12" s="4" t="s">
        <v>23</v>
      </c>
      <c r="O12" s="4" t="s">
        <v>24</v>
      </c>
      <c r="P12" s="4" t="s">
        <v>25</v>
      </c>
      <c r="Q12" s="46" t="s">
        <v>26</v>
      </c>
      <c r="R12" s="59" t="s">
        <v>27</v>
      </c>
      <c r="S12" s="46" t="s">
        <v>28</v>
      </c>
      <c r="T12" s="18" t="s">
        <v>29</v>
      </c>
      <c r="U12" s="18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</row>
    <row r="13" spans="1:74">
      <c r="A13" s="20"/>
      <c r="B13" s="35" t="s">
        <v>0</v>
      </c>
      <c r="C13" s="54"/>
      <c r="D13" s="36" t="s">
        <v>0</v>
      </c>
      <c r="E13" s="36" t="s">
        <v>0</v>
      </c>
      <c r="F13" s="36" t="s">
        <v>0</v>
      </c>
      <c r="G13" s="38"/>
      <c r="H13" s="38" t="s">
        <v>0</v>
      </c>
      <c r="I13" s="223" t="s">
        <v>30</v>
      </c>
      <c r="J13" s="224"/>
      <c r="K13" s="22" t="s">
        <v>0</v>
      </c>
      <c r="L13" s="20"/>
      <c r="M13" s="22"/>
      <c r="N13" s="22"/>
      <c r="O13" s="22" t="s">
        <v>31</v>
      </c>
      <c r="P13" s="22"/>
      <c r="Q13" s="47"/>
      <c r="R13" s="48"/>
      <c r="S13" s="23"/>
      <c r="T13" s="23"/>
      <c r="U13" s="53"/>
      <c r="V13" s="53"/>
      <c r="W13" s="53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</row>
    <row r="14" spans="1:74">
      <c r="A14" s="24"/>
      <c r="B14" s="37" t="s">
        <v>32</v>
      </c>
      <c r="C14" s="38" t="s">
        <v>32</v>
      </c>
      <c r="D14" s="38" t="s">
        <v>33</v>
      </c>
      <c r="E14" s="38" t="s">
        <v>34</v>
      </c>
      <c r="F14" s="38" t="s">
        <v>0</v>
      </c>
      <c r="G14" s="38"/>
      <c r="H14" s="38" t="s">
        <v>0</v>
      </c>
      <c r="I14" s="225"/>
      <c r="J14" s="226"/>
      <c r="K14" s="25" t="s">
        <v>35</v>
      </c>
      <c r="L14" s="21" t="s">
        <v>36</v>
      </c>
      <c r="M14" s="21" t="s">
        <v>37</v>
      </c>
      <c r="N14" s="21" t="s">
        <v>38</v>
      </c>
      <c r="O14" s="21" t="s">
        <v>39</v>
      </c>
      <c r="P14" s="20" t="s">
        <v>40</v>
      </c>
      <c r="Q14" s="35" t="s">
        <v>41</v>
      </c>
      <c r="R14" s="49" t="s">
        <v>42</v>
      </c>
      <c r="S14" s="23" t="s">
        <v>43</v>
      </c>
      <c r="T14" s="26" t="s">
        <v>44</v>
      </c>
      <c r="U14" s="53"/>
      <c r="V14" s="53"/>
      <c r="W14" s="53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</row>
    <row r="15" spans="1:74" ht="12" thickBot="1">
      <c r="A15" s="27" t="s">
        <v>45</v>
      </c>
      <c r="B15" s="39" t="s">
        <v>46</v>
      </c>
      <c r="C15" s="40" t="s">
        <v>47</v>
      </c>
      <c r="D15" s="40" t="s">
        <v>48</v>
      </c>
      <c r="E15" s="40" t="s">
        <v>49</v>
      </c>
      <c r="F15" s="40" t="s">
        <v>50</v>
      </c>
      <c r="G15" s="40" t="s">
        <v>51</v>
      </c>
      <c r="H15" s="40" t="s">
        <v>52</v>
      </c>
      <c r="I15" s="41" t="s">
        <v>53</v>
      </c>
      <c r="J15" s="58" t="s">
        <v>54</v>
      </c>
      <c r="K15" s="31" t="s">
        <v>55</v>
      </c>
      <c r="L15" s="72" t="s">
        <v>56</v>
      </c>
      <c r="M15" s="28" t="s">
        <v>57</v>
      </c>
      <c r="N15" s="28" t="s">
        <v>58</v>
      </c>
      <c r="O15" s="28" t="s">
        <v>59</v>
      </c>
      <c r="P15" s="30" t="s">
        <v>60</v>
      </c>
      <c r="Q15" s="44" t="s">
        <v>61</v>
      </c>
      <c r="R15" s="50" t="s">
        <v>61</v>
      </c>
      <c r="S15" s="31" t="s">
        <v>62</v>
      </c>
      <c r="T15" s="28" t="s">
        <v>63</v>
      </c>
      <c r="U15" s="53"/>
      <c r="V15" s="53"/>
      <c r="W15" s="53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</row>
    <row r="16" spans="1:74" ht="21" thickTop="1">
      <c r="A16" s="6">
        <v>1</v>
      </c>
      <c r="B16" s="173">
        <v>6335</v>
      </c>
      <c r="C16" s="137" t="s">
        <v>124</v>
      </c>
      <c r="D16" s="203" t="s">
        <v>125</v>
      </c>
      <c r="E16" s="139" t="s">
        <v>126</v>
      </c>
      <c r="F16" s="188">
        <f>ROUND((122466*0.72),0)</f>
        <v>88176</v>
      </c>
      <c r="G16" s="29">
        <v>0</v>
      </c>
      <c r="H16" s="189">
        <f>F16*0.15</f>
        <v>13226.4</v>
      </c>
      <c r="I16" s="151">
        <v>45748</v>
      </c>
      <c r="J16" s="189">
        <f>+ROUND((1943*0.72),0)</f>
        <v>1399</v>
      </c>
      <c r="K16" s="29">
        <f>(+F16+G16+H16+J16)</f>
        <v>102801.4</v>
      </c>
      <c r="L16" s="64">
        <f>+ROUND((K16*0.3077),0)</f>
        <v>31632</v>
      </c>
      <c r="M16" s="29">
        <f>ROUND((495*0.72),0)</f>
        <v>356</v>
      </c>
      <c r="N16" s="16">
        <v>0</v>
      </c>
      <c r="O16" s="16">
        <f t="shared" ref="O16:O27" si="0">ROUND((K16*0.0145),0)</f>
        <v>1491</v>
      </c>
      <c r="P16" s="16">
        <f>ROUND((187*0.72),0)</f>
        <v>135</v>
      </c>
      <c r="Q16" s="123">
        <f>ROUND((15670*0.72),0)</f>
        <v>11282</v>
      </c>
      <c r="R16" s="123">
        <f>ROUND((530*0.72),0)</f>
        <v>382</v>
      </c>
      <c r="S16" s="16">
        <f t="shared" ref="S16:S27" si="1">+L16+M16+N16+O16+P16+Q16+R16</f>
        <v>45278</v>
      </c>
      <c r="T16" s="16">
        <f>+K16+S16</f>
        <v>148079.4</v>
      </c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</row>
    <row r="17" spans="1:74">
      <c r="A17" s="6">
        <f t="shared" ref="A17:A33" si="2">A16+1</f>
        <v>2</v>
      </c>
      <c r="B17" s="174">
        <v>6316</v>
      </c>
      <c r="C17" s="204" t="s">
        <v>127</v>
      </c>
      <c r="D17" s="205" t="s">
        <v>128</v>
      </c>
      <c r="E17" s="175" t="s">
        <v>129</v>
      </c>
      <c r="F17" s="176">
        <v>83095</v>
      </c>
      <c r="G17" s="114">
        <v>0</v>
      </c>
      <c r="H17" s="177">
        <v>1159</v>
      </c>
      <c r="I17" s="178">
        <v>46161</v>
      </c>
      <c r="J17" s="176">
        <v>0</v>
      </c>
      <c r="K17" s="160">
        <f t="shared" ref="K17:K31" si="3">(+F17+G17+H17+J17)</f>
        <v>84254</v>
      </c>
      <c r="L17" s="160">
        <f>+ROUND((K17*0.3077),0)</f>
        <v>25925</v>
      </c>
      <c r="M17" s="161">
        <v>495</v>
      </c>
      <c r="N17" s="160">
        <v>0</v>
      </c>
      <c r="O17" s="160">
        <f t="shared" si="0"/>
        <v>1222</v>
      </c>
      <c r="P17" s="160">
        <v>187</v>
      </c>
      <c r="Q17" s="162">
        <v>9340</v>
      </c>
      <c r="R17" s="162">
        <v>530</v>
      </c>
      <c r="S17" s="160">
        <f t="shared" si="1"/>
        <v>37699</v>
      </c>
      <c r="T17" s="160">
        <f t="shared" ref="T17:T27" si="4">+K17+S17</f>
        <v>121953</v>
      </c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</row>
    <row r="18" spans="1:74" ht="20.25">
      <c r="A18" s="6">
        <f t="shared" si="2"/>
        <v>3</v>
      </c>
      <c r="B18" s="167">
        <v>6039</v>
      </c>
      <c r="C18" s="203" t="s">
        <v>130</v>
      </c>
      <c r="D18" s="206" t="s">
        <v>131</v>
      </c>
      <c r="E18" s="179" t="s">
        <v>132</v>
      </c>
      <c r="F18" s="180">
        <f>ROUND((45262*0.62),0)</f>
        <v>28062</v>
      </c>
      <c r="G18" s="114">
        <v>0</v>
      </c>
      <c r="H18" s="177">
        <v>0</v>
      </c>
      <c r="I18" s="151">
        <v>45909</v>
      </c>
      <c r="J18" s="177">
        <f>+ROUND((143*0.62),0)</f>
        <v>89</v>
      </c>
      <c r="K18" s="160">
        <f t="shared" si="3"/>
        <v>28151</v>
      </c>
      <c r="L18" s="160">
        <f t="shared" ref="L18:L31" si="5">+ROUND((K18*0.3077),0)</f>
        <v>8662</v>
      </c>
      <c r="M18" s="161">
        <f>ROUND((495*0.62),0)</f>
        <v>307</v>
      </c>
      <c r="N18" s="160">
        <v>0</v>
      </c>
      <c r="O18" s="160">
        <f t="shared" si="0"/>
        <v>408</v>
      </c>
      <c r="P18" s="160">
        <f>ROUND((187*0.62),0)</f>
        <v>116</v>
      </c>
      <c r="Q18" s="162">
        <f>ROUND((3994*0.62),0)</f>
        <v>2476</v>
      </c>
      <c r="R18" s="162">
        <f>ROUND((298*0.62),0)</f>
        <v>185</v>
      </c>
      <c r="S18" s="160">
        <f t="shared" si="1"/>
        <v>12154</v>
      </c>
      <c r="T18" s="160">
        <f t="shared" si="4"/>
        <v>40305</v>
      </c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</row>
    <row r="19" spans="1:74">
      <c r="A19" s="6">
        <f t="shared" si="2"/>
        <v>4</v>
      </c>
      <c r="B19" s="174">
        <v>6165</v>
      </c>
      <c r="C19" s="137" t="s">
        <v>78</v>
      </c>
      <c r="D19" s="137" t="s">
        <v>133</v>
      </c>
      <c r="E19" s="179" t="s">
        <v>132</v>
      </c>
      <c r="F19" s="181">
        <f>ROUND((45262*0.75),0)</f>
        <v>33947</v>
      </c>
      <c r="G19" s="114">
        <v>0</v>
      </c>
      <c r="H19" s="177">
        <v>0</v>
      </c>
      <c r="I19" s="151">
        <v>45910</v>
      </c>
      <c r="J19" s="177">
        <v>0</v>
      </c>
      <c r="K19" s="160">
        <f t="shared" si="3"/>
        <v>33947</v>
      </c>
      <c r="L19" s="160">
        <f t="shared" si="5"/>
        <v>10445</v>
      </c>
      <c r="M19" s="161">
        <f>ROUND((495*0.75),0)</f>
        <v>371</v>
      </c>
      <c r="N19" s="160">
        <v>0</v>
      </c>
      <c r="O19" s="160">
        <f t="shared" si="0"/>
        <v>492</v>
      </c>
      <c r="P19" s="160">
        <f>ROUND((187*0.75),0)</f>
        <v>140</v>
      </c>
      <c r="Q19" s="162">
        <f>ROUND((3994*0.75),0)</f>
        <v>2996</v>
      </c>
      <c r="R19" s="162">
        <f>ROUND((298*0.75),0)</f>
        <v>224</v>
      </c>
      <c r="S19" s="160">
        <f t="shared" si="1"/>
        <v>14668</v>
      </c>
      <c r="T19" s="160">
        <f t="shared" si="4"/>
        <v>48615</v>
      </c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</row>
    <row r="20" spans="1:74" ht="12.75" customHeight="1">
      <c r="A20" s="6">
        <f t="shared" si="2"/>
        <v>5</v>
      </c>
      <c r="B20" s="167">
        <v>6226</v>
      </c>
      <c r="C20" s="207" t="s">
        <v>78</v>
      </c>
      <c r="D20" s="208" t="s">
        <v>134</v>
      </c>
      <c r="E20" s="179" t="s">
        <v>135</v>
      </c>
      <c r="F20" s="182">
        <f>ROUND((50605*0.16),0)</f>
        <v>8097</v>
      </c>
      <c r="G20" s="114">
        <v>0</v>
      </c>
      <c r="H20" s="177">
        <v>0</v>
      </c>
      <c r="I20" s="120">
        <v>45844</v>
      </c>
      <c r="J20" s="177">
        <f>ROUND((480*0.16),0)</f>
        <v>77</v>
      </c>
      <c r="K20" s="160">
        <f>(+F20+G20+H20+J20)</f>
        <v>8174</v>
      </c>
      <c r="L20" s="160">
        <f t="shared" si="5"/>
        <v>2515</v>
      </c>
      <c r="M20" s="161">
        <f>ROUND((495*0.16),0)</f>
        <v>79</v>
      </c>
      <c r="N20" s="160">
        <v>0</v>
      </c>
      <c r="O20" s="160">
        <f t="shared" si="0"/>
        <v>119</v>
      </c>
      <c r="P20" s="160">
        <f>ROUND((187*0.16),0)</f>
        <v>30</v>
      </c>
      <c r="Q20" s="162">
        <f>ROUND((3994*0.16),0)</f>
        <v>639</v>
      </c>
      <c r="R20" s="162">
        <f>ROUND((298*0.16),0)</f>
        <v>48</v>
      </c>
      <c r="S20" s="160">
        <f t="shared" si="1"/>
        <v>3430</v>
      </c>
      <c r="T20" s="160">
        <f>+K20+S20</f>
        <v>11604</v>
      </c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</row>
    <row r="21" spans="1:74">
      <c r="A21" s="6">
        <f t="shared" si="2"/>
        <v>6</v>
      </c>
      <c r="B21" s="167">
        <v>6409</v>
      </c>
      <c r="C21" s="137" t="s">
        <v>78</v>
      </c>
      <c r="D21" s="209" t="s">
        <v>136</v>
      </c>
      <c r="E21" s="139" t="s">
        <v>137</v>
      </c>
      <c r="F21" s="190">
        <f>ROUND((46978*0.75),0)</f>
        <v>35234</v>
      </c>
      <c r="G21" s="114">
        <v>0</v>
      </c>
      <c r="H21" s="177">
        <v>0</v>
      </c>
      <c r="I21" s="151">
        <v>45693</v>
      </c>
      <c r="J21" s="177">
        <v>0</v>
      </c>
      <c r="K21" s="160">
        <f t="shared" si="3"/>
        <v>35234</v>
      </c>
      <c r="L21" s="160">
        <f t="shared" si="5"/>
        <v>10842</v>
      </c>
      <c r="M21" s="161">
        <f>ROUND((495*0.75),0)</f>
        <v>371</v>
      </c>
      <c r="N21" s="160">
        <v>0</v>
      </c>
      <c r="O21" s="160">
        <f t="shared" si="0"/>
        <v>511</v>
      </c>
      <c r="P21" s="160">
        <f>ROUND((187*0.27),0)</f>
        <v>50</v>
      </c>
      <c r="Q21" s="162">
        <f>ROUND((3994*0.75),0)</f>
        <v>2996</v>
      </c>
      <c r="R21" s="162">
        <v>0</v>
      </c>
      <c r="S21" s="160">
        <f t="shared" si="1"/>
        <v>14770</v>
      </c>
      <c r="T21" s="160">
        <f>+K21+S21</f>
        <v>50004</v>
      </c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</row>
    <row r="22" spans="1:74">
      <c r="A22" s="6">
        <f t="shared" si="2"/>
        <v>7</v>
      </c>
      <c r="B22" s="173">
        <v>6136</v>
      </c>
      <c r="C22" s="207" t="s">
        <v>138</v>
      </c>
      <c r="D22" s="210" t="s">
        <v>139</v>
      </c>
      <c r="E22" s="179" t="s">
        <v>83</v>
      </c>
      <c r="F22" s="182">
        <v>34886</v>
      </c>
      <c r="G22" s="114">
        <v>0</v>
      </c>
      <c r="H22" s="177">
        <v>0</v>
      </c>
      <c r="I22" s="120">
        <v>45925</v>
      </c>
      <c r="J22" s="177">
        <v>110</v>
      </c>
      <c r="K22" s="160">
        <f t="shared" si="3"/>
        <v>34996</v>
      </c>
      <c r="L22" s="160">
        <f t="shared" si="5"/>
        <v>10768</v>
      </c>
      <c r="M22" s="161">
        <v>495</v>
      </c>
      <c r="N22" s="160">
        <v>0</v>
      </c>
      <c r="O22" s="160">
        <f t="shared" si="0"/>
        <v>507</v>
      </c>
      <c r="P22" s="160">
        <v>187</v>
      </c>
      <c r="Q22" s="162">
        <v>0</v>
      </c>
      <c r="R22" s="162">
        <v>0</v>
      </c>
      <c r="S22" s="160">
        <f t="shared" si="1"/>
        <v>11957</v>
      </c>
      <c r="T22" s="160">
        <f t="shared" si="4"/>
        <v>46953</v>
      </c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</row>
    <row r="23" spans="1:74">
      <c r="A23" s="6">
        <f t="shared" si="2"/>
        <v>8</v>
      </c>
      <c r="B23" s="173">
        <v>6094</v>
      </c>
      <c r="C23" s="207" t="s">
        <v>67</v>
      </c>
      <c r="D23" s="210" t="s">
        <v>140</v>
      </c>
      <c r="E23" s="183" t="s">
        <v>141</v>
      </c>
      <c r="F23" s="180">
        <v>33581</v>
      </c>
      <c r="G23" s="114">
        <v>0</v>
      </c>
      <c r="H23" s="177">
        <v>0</v>
      </c>
      <c r="I23" s="120">
        <v>46134</v>
      </c>
      <c r="J23" s="177">
        <v>0</v>
      </c>
      <c r="K23" s="160">
        <f t="shared" si="3"/>
        <v>33581</v>
      </c>
      <c r="L23" s="160">
        <f t="shared" si="5"/>
        <v>10333</v>
      </c>
      <c r="M23" s="161">
        <v>495</v>
      </c>
      <c r="N23" s="160">
        <v>0</v>
      </c>
      <c r="O23" s="160">
        <f t="shared" si="0"/>
        <v>487</v>
      </c>
      <c r="P23" s="160">
        <v>187</v>
      </c>
      <c r="Q23" s="162">
        <v>0</v>
      </c>
      <c r="R23" s="162">
        <v>0</v>
      </c>
      <c r="S23" s="160">
        <f t="shared" si="1"/>
        <v>11502</v>
      </c>
      <c r="T23" s="160">
        <f t="shared" si="4"/>
        <v>45083</v>
      </c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</row>
    <row r="24" spans="1:74">
      <c r="A24" s="6">
        <f t="shared" si="2"/>
        <v>9</v>
      </c>
      <c r="B24" s="167">
        <v>6062</v>
      </c>
      <c r="C24" s="137" t="s">
        <v>67</v>
      </c>
      <c r="D24" s="211" t="s">
        <v>142</v>
      </c>
      <c r="E24" s="179" t="s">
        <v>143</v>
      </c>
      <c r="F24" s="180">
        <v>44417</v>
      </c>
      <c r="G24" s="114">
        <v>0</v>
      </c>
      <c r="H24" s="177">
        <v>0</v>
      </c>
      <c r="I24" s="120">
        <v>46109</v>
      </c>
      <c r="J24" s="177">
        <v>0</v>
      </c>
      <c r="K24" s="160">
        <f t="shared" si="3"/>
        <v>44417</v>
      </c>
      <c r="L24" s="160">
        <f t="shared" si="5"/>
        <v>13667</v>
      </c>
      <c r="M24" s="161">
        <v>495</v>
      </c>
      <c r="N24" s="160">
        <v>0</v>
      </c>
      <c r="O24" s="160">
        <f t="shared" si="0"/>
        <v>644</v>
      </c>
      <c r="P24" s="160">
        <v>187</v>
      </c>
      <c r="Q24" s="162">
        <v>15670</v>
      </c>
      <c r="R24" s="162">
        <v>530</v>
      </c>
      <c r="S24" s="160">
        <f t="shared" si="1"/>
        <v>31193</v>
      </c>
      <c r="T24" s="160">
        <f t="shared" si="4"/>
        <v>75610</v>
      </c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</row>
    <row r="25" spans="1:74">
      <c r="A25" s="6">
        <f t="shared" si="2"/>
        <v>10</v>
      </c>
      <c r="B25" s="184">
        <v>6464</v>
      </c>
      <c r="C25" s="207" t="s">
        <v>67</v>
      </c>
      <c r="D25" s="211" t="s">
        <v>144</v>
      </c>
      <c r="E25" s="179" t="s">
        <v>143</v>
      </c>
      <c r="F25" s="185">
        <v>44417</v>
      </c>
      <c r="G25" s="114">
        <v>0</v>
      </c>
      <c r="H25" s="177">
        <v>0</v>
      </c>
      <c r="I25" s="120">
        <v>46441</v>
      </c>
      <c r="J25" s="177">
        <v>0</v>
      </c>
      <c r="K25" s="160">
        <f t="shared" si="3"/>
        <v>44417</v>
      </c>
      <c r="L25" s="160">
        <f t="shared" si="5"/>
        <v>13667</v>
      </c>
      <c r="M25" s="161">
        <v>495</v>
      </c>
      <c r="N25" s="160">
        <v>0</v>
      </c>
      <c r="O25" s="160">
        <f t="shared" si="0"/>
        <v>644</v>
      </c>
      <c r="P25" s="160">
        <v>187</v>
      </c>
      <c r="Q25" s="162">
        <v>6117</v>
      </c>
      <c r="R25" s="162">
        <v>298</v>
      </c>
      <c r="S25" s="160">
        <f t="shared" si="1"/>
        <v>21408</v>
      </c>
      <c r="T25" s="160">
        <f t="shared" si="4"/>
        <v>65825</v>
      </c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</row>
    <row r="26" spans="1:74">
      <c r="A26" s="6">
        <f t="shared" si="2"/>
        <v>11</v>
      </c>
      <c r="B26" s="186">
        <v>6182</v>
      </c>
      <c r="C26" s="137" t="s">
        <v>78</v>
      </c>
      <c r="D26" s="212" t="s">
        <v>145</v>
      </c>
      <c r="E26" s="139" t="s">
        <v>146</v>
      </c>
      <c r="F26" s="187">
        <v>52047</v>
      </c>
      <c r="G26" s="114">
        <v>0</v>
      </c>
      <c r="H26" s="177">
        <v>0</v>
      </c>
      <c r="I26" s="151">
        <v>46526</v>
      </c>
      <c r="J26" s="177">
        <v>0</v>
      </c>
      <c r="K26" s="160">
        <f t="shared" si="3"/>
        <v>52047</v>
      </c>
      <c r="L26" s="160">
        <f t="shared" si="5"/>
        <v>16015</v>
      </c>
      <c r="M26" s="161">
        <v>495</v>
      </c>
      <c r="N26" s="160">
        <v>0</v>
      </c>
      <c r="O26" s="160">
        <f t="shared" si="0"/>
        <v>755</v>
      </c>
      <c r="P26" s="160">
        <v>187</v>
      </c>
      <c r="Q26" s="162">
        <v>6929</v>
      </c>
      <c r="R26" s="162">
        <v>394</v>
      </c>
      <c r="S26" s="160">
        <f t="shared" si="1"/>
        <v>24775</v>
      </c>
      <c r="T26" s="160">
        <f t="shared" si="4"/>
        <v>76822</v>
      </c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</row>
    <row r="27" spans="1:74" ht="19.5" customHeight="1">
      <c r="A27" s="6">
        <f t="shared" si="2"/>
        <v>12</v>
      </c>
      <c r="B27" s="167" t="s">
        <v>147</v>
      </c>
      <c r="C27" s="137" t="s">
        <v>148</v>
      </c>
      <c r="D27" s="213" t="s">
        <v>149</v>
      </c>
      <c r="E27" s="139" t="s">
        <v>150</v>
      </c>
      <c r="F27" s="181">
        <v>25736</v>
      </c>
      <c r="G27" s="114">
        <v>0</v>
      </c>
      <c r="H27" s="177">
        <v>0</v>
      </c>
      <c r="I27" s="151">
        <v>46007</v>
      </c>
      <c r="J27" s="177">
        <v>0</v>
      </c>
      <c r="K27" s="160">
        <f t="shared" si="3"/>
        <v>25736</v>
      </c>
      <c r="L27" s="160">
        <f t="shared" si="5"/>
        <v>7919</v>
      </c>
      <c r="M27" s="161">
        <v>495</v>
      </c>
      <c r="N27" s="160">
        <v>0</v>
      </c>
      <c r="O27" s="160">
        <f t="shared" si="0"/>
        <v>373</v>
      </c>
      <c r="P27" s="160">
        <v>187</v>
      </c>
      <c r="Q27" s="162">
        <v>9596</v>
      </c>
      <c r="R27" s="162">
        <v>329</v>
      </c>
      <c r="S27" s="160">
        <f t="shared" si="1"/>
        <v>18899</v>
      </c>
      <c r="T27" s="160">
        <f t="shared" si="4"/>
        <v>44635</v>
      </c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</row>
    <row r="28" spans="1:74">
      <c r="A28" s="6">
        <f t="shared" si="2"/>
        <v>13</v>
      </c>
      <c r="B28" s="168" t="s">
        <v>151</v>
      </c>
      <c r="C28" s="137" t="s">
        <v>148</v>
      </c>
      <c r="D28" s="214" t="s">
        <v>152</v>
      </c>
      <c r="E28" s="70" t="s">
        <v>153</v>
      </c>
      <c r="F28" s="114">
        <v>30996</v>
      </c>
      <c r="G28" s="114">
        <v>0</v>
      </c>
      <c r="H28" s="177">
        <v>0</v>
      </c>
      <c r="I28" s="78">
        <v>46035</v>
      </c>
      <c r="J28" s="177">
        <v>0</v>
      </c>
      <c r="K28" s="160">
        <f t="shared" si="3"/>
        <v>30996</v>
      </c>
      <c r="L28" s="160">
        <f t="shared" si="5"/>
        <v>9537</v>
      </c>
      <c r="M28" s="161">
        <v>495</v>
      </c>
      <c r="N28" s="160">
        <v>0</v>
      </c>
      <c r="O28" s="160">
        <f t="shared" ref="O28" si="6">ROUND((K28*0.0145),0)</f>
        <v>449</v>
      </c>
      <c r="P28" s="160">
        <v>187</v>
      </c>
      <c r="Q28" s="162">
        <v>5709</v>
      </c>
      <c r="R28" s="162">
        <v>329</v>
      </c>
      <c r="S28" s="160">
        <f t="shared" ref="S28" si="7">+L28+M28+N28+O28+P28+Q28+R28</f>
        <v>16706</v>
      </c>
      <c r="T28" s="160">
        <f t="shared" ref="T28" si="8">+K28+S28</f>
        <v>47702</v>
      </c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</row>
    <row r="29" spans="1:74">
      <c r="A29" s="6">
        <f t="shared" si="2"/>
        <v>14</v>
      </c>
      <c r="B29" s="191">
        <v>6290</v>
      </c>
      <c r="C29" s="137" t="s">
        <v>78</v>
      </c>
      <c r="D29" s="215" t="s">
        <v>154</v>
      </c>
      <c r="E29" s="179" t="s">
        <v>132</v>
      </c>
      <c r="F29" s="114">
        <f>ROUND((45262*0.75),0)</f>
        <v>33947</v>
      </c>
      <c r="G29" s="114">
        <v>0</v>
      </c>
      <c r="H29" s="177">
        <v>0</v>
      </c>
      <c r="I29" s="78">
        <v>46070</v>
      </c>
      <c r="J29" s="177">
        <v>0</v>
      </c>
      <c r="K29" s="160">
        <f>(+F29+G29+H29+J29)</f>
        <v>33947</v>
      </c>
      <c r="L29" s="160">
        <f t="shared" si="5"/>
        <v>10445</v>
      </c>
      <c r="M29" s="161">
        <f>ROUND((495*0.75),0)</f>
        <v>371</v>
      </c>
      <c r="N29" s="160">
        <v>0</v>
      </c>
      <c r="O29" s="160">
        <f t="shared" ref="O29" si="9">ROUND((K29*0.0145),0)</f>
        <v>492</v>
      </c>
      <c r="P29" s="160">
        <f>ROUND((187*0.27),0)</f>
        <v>50</v>
      </c>
      <c r="Q29" s="162">
        <v>0</v>
      </c>
      <c r="R29" s="162">
        <v>0</v>
      </c>
      <c r="S29" s="160">
        <f t="shared" ref="S29" si="10">+L29+M29+N29+O29+P29+Q29+R29</f>
        <v>11358</v>
      </c>
      <c r="T29" s="160">
        <f t="shared" ref="T29" si="11">+K29+S29</f>
        <v>45305</v>
      </c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</row>
    <row r="30" spans="1:74">
      <c r="A30" s="6">
        <f t="shared" si="2"/>
        <v>15</v>
      </c>
      <c r="B30" s="191">
        <v>7030</v>
      </c>
      <c r="C30" s="137" t="s">
        <v>78</v>
      </c>
      <c r="D30" s="216" t="s">
        <v>155</v>
      </c>
      <c r="E30" s="179" t="s">
        <v>132</v>
      </c>
      <c r="F30" s="114">
        <f>ROUND((45262*0.75),0)</f>
        <v>33947</v>
      </c>
      <c r="G30" s="114">
        <v>0</v>
      </c>
      <c r="H30" s="177">
        <v>0</v>
      </c>
      <c r="I30" s="78">
        <v>46063</v>
      </c>
      <c r="J30" s="177">
        <v>0</v>
      </c>
      <c r="K30" s="160">
        <f>(+F30+G30+H30+J30)</f>
        <v>33947</v>
      </c>
      <c r="L30" s="160">
        <f t="shared" ref="L30" si="12">+ROUND((K30*0.3077),0)</f>
        <v>10445</v>
      </c>
      <c r="M30" s="161">
        <f>ROUND((495*0.75),0)</f>
        <v>371</v>
      </c>
      <c r="N30" s="160">
        <v>0</v>
      </c>
      <c r="O30" s="160">
        <f t="shared" ref="O30" si="13">ROUND((K30*0.0145),0)</f>
        <v>492</v>
      </c>
      <c r="P30" s="160">
        <f>ROUND((187*0.27),0)</f>
        <v>50</v>
      </c>
      <c r="Q30" s="162">
        <f>ROUND((6117*0.75),0)</f>
        <v>4588</v>
      </c>
      <c r="R30" s="162">
        <f>ROUND((298*0.75),0)</f>
        <v>224</v>
      </c>
      <c r="S30" s="160">
        <f t="shared" ref="S30" si="14">+L30+M30+N30+O30+P30+Q30+R30</f>
        <v>16170</v>
      </c>
      <c r="T30" s="160">
        <f t="shared" ref="T30" si="15">+K30+S30</f>
        <v>50117</v>
      </c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</row>
    <row r="31" spans="1:74" ht="26.25" customHeight="1">
      <c r="A31" s="6">
        <f t="shared" si="2"/>
        <v>16</v>
      </c>
      <c r="B31" s="168" t="s">
        <v>156</v>
      </c>
      <c r="C31" s="228" t="s">
        <v>157</v>
      </c>
      <c r="D31" s="217" t="s">
        <v>158</v>
      </c>
      <c r="E31" s="52" t="s">
        <v>159</v>
      </c>
      <c r="F31" s="114">
        <v>49731</v>
      </c>
      <c r="G31" s="114">
        <v>0</v>
      </c>
      <c r="H31" s="177">
        <v>0</v>
      </c>
      <c r="I31" s="8"/>
      <c r="J31" s="177"/>
      <c r="K31" s="160">
        <f t="shared" si="3"/>
        <v>49731</v>
      </c>
      <c r="L31" s="160">
        <f t="shared" si="5"/>
        <v>15302</v>
      </c>
      <c r="M31" s="161">
        <v>495</v>
      </c>
      <c r="N31" s="160">
        <v>0</v>
      </c>
      <c r="O31" s="160">
        <f t="shared" ref="O31" si="16">ROUND((K31*0.0145),0)</f>
        <v>721</v>
      </c>
      <c r="P31" s="160">
        <v>187</v>
      </c>
      <c r="Q31" s="162">
        <v>0</v>
      </c>
      <c r="R31" s="162">
        <v>0</v>
      </c>
      <c r="S31" s="160">
        <f t="shared" ref="S31" si="17">+L31+M31+N31+O31+P31+Q31+R31</f>
        <v>16705</v>
      </c>
      <c r="T31" s="160">
        <f t="shared" ref="T31" si="18">+K31+S31</f>
        <v>66436</v>
      </c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</row>
    <row r="32" spans="1:74">
      <c r="A32" s="6">
        <f t="shared" si="2"/>
        <v>17</v>
      </c>
      <c r="B32" s="6"/>
      <c r="C32" s="52"/>
      <c r="D32" s="153"/>
      <c r="E32" s="52"/>
      <c r="F32" s="7"/>
      <c r="G32" s="7"/>
      <c r="H32" s="66"/>
      <c r="I32" s="8"/>
      <c r="J32" s="33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</row>
    <row r="33" spans="1:74">
      <c r="A33" s="6">
        <f t="shared" si="2"/>
        <v>18</v>
      </c>
      <c r="B33" s="6"/>
      <c r="C33" s="52"/>
      <c r="D33" s="52"/>
      <c r="E33" s="52"/>
      <c r="F33" s="7"/>
      <c r="G33" s="7"/>
      <c r="H33" s="66"/>
      <c r="I33" s="8"/>
      <c r="J33" s="33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</row>
    <row r="34" spans="1:74">
      <c r="A34" s="6">
        <v>19</v>
      </c>
      <c r="B34" s="6"/>
      <c r="C34" s="52"/>
      <c r="D34" s="52"/>
      <c r="E34" s="52"/>
      <c r="F34" s="7"/>
      <c r="G34" s="7"/>
      <c r="H34" s="66"/>
      <c r="I34" s="8"/>
      <c r="J34" s="33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</row>
    <row r="35" spans="1:74">
      <c r="A35" s="6">
        <v>20</v>
      </c>
      <c r="B35" s="6"/>
      <c r="C35" s="52"/>
      <c r="D35" s="52"/>
      <c r="E35" s="52"/>
      <c r="F35" s="7"/>
      <c r="G35" s="7"/>
      <c r="H35" s="66"/>
      <c r="I35" s="8"/>
      <c r="J35" s="33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</row>
    <row r="36" spans="1:74">
      <c r="A36" s="6">
        <v>21</v>
      </c>
      <c r="B36" s="6"/>
      <c r="C36" s="52"/>
      <c r="D36" s="52"/>
      <c r="E36" s="52"/>
      <c r="F36" s="7"/>
      <c r="G36" s="7"/>
      <c r="H36" s="66"/>
      <c r="I36" s="8"/>
      <c r="J36" s="33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</row>
    <row r="37" spans="1:74">
      <c r="A37" s="6">
        <v>22</v>
      </c>
      <c r="B37" s="6"/>
      <c r="C37" s="52"/>
      <c r="D37" s="52"/>
      <c r="E37" s="52"/>
      <c r="F37" s="7"/>
      <c r="G37" s="7"/>
      <c r="H37" s="66"/>
      <c r="I37" s="8"/>
      <c r="J37" s="33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</row>
    <row r="38" spans="1:74">
      <c r="A38" s="6">
        <v>23</v>
      </c>
      <c r="B38" s="6"/>
      <c r="C38" s="52"/>
      <c r="D38" s="52"/>
      <c r="E38" s="52"/>
      <c r="F38" s="7"/>
      <c r="G38" s="7"/>
      <c r="H38" s="66"/>
      <c r="I38" s="8"/>
      <c r="J38" s="33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</row>
    <row r="39" spans="1:74">
      <c r="A39" s="6">
        <v>24</v>
      </c>
      <c r="B39" s="6"/>
      <c r="C39" s="52"/>
      <c r="D39" s="52"/>
      <c r="E39" s="52"/>
      <c r="F39" s="7"/>
      <c r="G39" s="73"/>
      <c r="H39" s="66"/>
      <c r="I39" s="8"/>
      <c r="J39" s="33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</row>
    <row r="40" spans="1:74">
      <c r="A40" s="6">
        <v>25</v>
      </c>
      <c r="B40" s="6"/>
      <c r="C40" s="52"/>
      <c r="D40" s="52"/>
      <c r="E40" s="52"/>
      <c r="F40" s="7"/>
      <c r="G40" s="7"/>
      <c r="H40" s="66"/>
      <c r="I40" s="8"/>
      <c r="J40" s="33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</row>
    <row r="41" spans="1:74">
      <c r="A41" s="14"/>
      <c r="B41" s="14"/>
      <c r="C41" s="14"/>
      <c r="D41" s="11" t="s">
        <v>90</v>
      </c>
      <c r="E41" s="13" t="s">
        <v>91</v>
      </c>
      <c r="F41" s="10">
        <f>SUM(F16:F40)</f>
        <v>660316</v>
      </c>
      <c r="G41" s="10">
        <f t="shared" ref="G41:H41" si="19">SUM(G16:G40)</f>
        <v>0</v>
      </c>
      <c r="H41" s="10">
        <f t="shared" si="19"/>
        <v>14385.4</v>
      </c>
      <c r="I41" s="12" t="s">
        <v>91</v>
      </c>
      <c r="J41" s="10">
        <f>SUM(J16:J40)</f>
        <v>1675</v>
      </c>
      <c r="K41" s="10">
        <f t="shared" ref="K41:T41" si="20">SUM(K16:K40)</f>
        <v>676376.4</v>
      </c>
      <c r="L41" s="10">
        <f t="shared" si="20"/>
        <v>208119</v>
      </c>
      <c r="M41" s="10">
        <f t="shared" si="20"/>
        <v>6681</v>
      </c>
      <c r="N41" s="10">
        <f t="shared" si="20"/>
        <v>0</v>
      </c>
      <c r="O41" s="10">
        <f t="shared" si="20"/>
        <v>9807</v>
      </c>
      <c r="P41" s="10">
        <f t="shared" si="20"/>
        <v>2254</v>
      </c>
      <c r="Q41" s="10">
        <f t="shared" si="20"/>
        <v>78338</v>
      </c>
      <c r="R41" s="10">
        <f t="shared" si="20"/>
        <v>3473</v>
      </c>
      <c r="S41" s="10">
        <f t="shared" si="20"/>
        <v>308672</v>
      </c>
      <c r="T41" s="10">
        <f t="shared" si="20"/>
        <v>985048.4</v>
      </c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</row>
    <row r="42" spans="1:74" ht="12" customHeight="1">
      <c r="A42" s="17" t="s">
        <v>92</v>
      </c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</row>
    <row r="43" spans="1:74" ht="12.75">
      <c r="A43" s="17" t="s">
        <v>93</v>
      </c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</row>
    <row r="44" spans="1:74" ht="12.75">
      <c r="A44" s="71" t="s">
        <v>94</v>
      </c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</row>
    <row r="45" spans="1:74" ht="12.75">
      <c r="A45" s="71" t="s">
        <v>95</v>
      </c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</row>
    <row r="46" spans="1:74" ht="12.75">
      <c r="A46" s="71" t="s">
        <v>96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</row>
    <row r="47" spans="1:74" ht="12" thickBo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</row>
    <row r="48" spans="1:74" ht="12.75" thickTop="1" thickBot="1">
      <c r="A48" s="3"/>
      <c r="B48" s="84" t="s">
        <v>10</v>
      </c>
      <c r="C48" s="85"/>
      <c r="D48" s="85"/>
      <c r="E48" s="85"/>
      <c r="F48" s="85"/>
      <c r="G48" s="85"/>
      <c r="H48" s="85"/>
      <c r="I48" s="85"/>
      <c r="J48" s="86"/>
      <c r="K48" s="87"/>
      <c r="L48" s="88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</row>
    <row r="49" spans="1:66">
      <c r="A49" s="3"/>
      <c r="B49" s="89" t="s">
        <v>97</v>
      </c>
      <c r="C49" s="90"/>
      <c r="D49" s="90"/>
      <c r="E49" s="90"/>
      <c r="F49" s="90"/>
      <c r="G49" s="90"/>
      <c r="H49" s="90"/>
      <c r="I49" s="90"/>
      <c r="J49" s="90"/>
      <c r="K49" s="90"/>
      <c r="L49" s="9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</row>
    <row r="50" spans="1:66">
      <c r="A50" s="3"/>
      <c r="B50" s="92" t="s">
        <v>11</v>
      </c>
      <c r="C50" s="4" t="s">
        <v>12</v>
      </c>
      <c r="D50" s="4" t="s">
        <v>13</v>
      </c>
      <c r="E50" s="4" t="s">
        <v>14</v>
      </c>
      <c r="F50" s="4" t="s">
        <v>15</v>
      </c>
      <c r="G50" s="4" t="s">
        <v>16</v>
      </c>
      <c r="H50" s="4" t="s">
        <v>17</v>
      </c>
      <c r="I50" s="4" t="s">
        <v>18</v>
      </c>
      <c r="J50" s="4" t="s">
        <v>19</v>
      </c>
      <c r="K50" s="4" t="s">
        <v>20</v>
      </c>
      <c r="L50" s="93" t="s">
        <v>21</v>
      </c>
      <c r="M50" s="18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</row>
    <row r="51" spans="1:66">
      <c r="A51" s="3"/>
      <c r="B51" s="92"/>
      <c r="C51" s="45"/>
      <c r="D51" s="4"/>
      <c r="E51" s="45"/>
      <c r="F51" s="11" t="s">
        <v>98</v>
      </c>
      <c r="G51" s="63" t="s">
        <v>99</v>
      </c>
      <c r="H51" s="62" t="s">
        <v>100</v>
      </c>
      <c r="I51" s="62" t="s">
        <v>60</v>
      </c>
      <c r="J51" s="62" t="s">
        <v>101</v>
      </c>
      <c r="K51" s="62" t="s">
        <v>102</v>
      </c>
      <c r="L51" s="94"/>
      <c r="M51" s="18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</row>
    <row r="52" spans="1:66" ht="21.75">
      <c r="A52" s="20"/>
      <c r="B52" s="95" t="s">
        <v>0</v>
      </c>
      <c r="C52" s="54"/>
      <c r="D52" s="36" t="s">
        <v>0</v>
      </c>
      <c r="E52" s="36" t="s">
        <v>103</v>
      </c>
      <c r="F52" s="60" t="s">
        <v>104</v>
      </c>
      <c r="G52" s="38"/>
      <c r="H52" s="38" t="s">
        <v>0</v>
      </c>
      <c r="I52" s="61" t="s">
        <v>105</v>
      </c>
      <c r="J52" s="38" t="s">
        <v>106</v>
      </c>
      <c r="K52" s="38" t="s">
        <v>107</v>
      </c>
      <c r="L52" s="96" t="s">
        <v>0</v>
      </c>
      <c r="M52" s="53"/>
      <c r="N52" s="53"/>
      <c r="O52" s="53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</row>
    <row r="53" spans="1:66">
      <c r="A53" s="24"/>
      <c r="B53" s="97" t="s">
        <v>32</v>
      </c>
      <c r="C53" s="38" t="s">
        <v>32</v>
      </c>
      <c r="D53" s="38" t="s">
        <v>33</v>
      </c>
      <c r="E53" s="38" t="s">
        <v>108</v>
      </c>
      <c r="F53" s="38" t="s">
        <v>108</v>
      </c>
      <c r="G53" s="38" t="s">
        <v>109</v>
      </c>
      <c r="H53" s="38" t="s">
        <v>109</v>
      </c>
      <c r="I53" s="38" t="s">
        <v>108</v>
      </c>
      <c r="J53" s="38" t="s">
        <v>108</v>
      </c>
      <c r="K53" s="38" t="s">
        <v>108</v>
      </c>
      <c r="L53" s="98" t="s">
        <v>110</v>
      </c>
      <c r="M53" s="53"/>
      <c r="N53" s="53"/>
      <c r="O53" s="53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</row>
    <row r="54" spans="1:66" ht="12" thickBot="1">
      <c r="A54" s="27" t="s">
        <v>45</v>
      </c>
      <c r="B54" s="99" t="s">
        <v>46</v>
      </c>
      <c r="C54" s="100" t="s">
        <v>111</v>
      </c>
      <c r="D54" s="100" t="s">
        <v>48</v>
      </c>
      <c r="E54" s="100"/>
      <c r="F54" s="101" t="s">
        <v>112</v>
      </c>
      <c r="G54" s="101" t="s">
        <v>112</v>
      </c>
      <c r="H54" s="101" t="s">
        <v>113</v>
      </c>
      <c r="I54" s="101" t="s">
        <v>114</v>
      </c>
      <c r="J54" s="101" t="s">
        <v>114</v>
      </c>
      <c r="K54" s="101" t="s">
        <v>115</v>
      </c>
      <c r="L54" s="102" t="s">
        <v>55</v>
      </c>
      <c r="M54" s="53"/>
      <c r="N54" s="53"/>
      <c r="O54" s="53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</row>
    <row r="55" spans="1:66" ht="21.75">
      <c r="A55" s="6">
        <v>1</v>
      </c>
      <c r="B55" s="51">
        <f t="shared" ref="B55:D55" si="21">+B16</f>
        <v>6335</v>
      </c>
      <c r="C55" s="51" t="str">
        <f t="shared" si="21"/>
        <v>Chief Env. Public Health Officer</v>
      </c>
      <c r="D55" s="165" t="str">
        <f t="shared" si="21"/>
        <v>Nadeau, Masatomo T. (72%) (06/01/1992)</v>
      </c>
      <c r="E55" s="161">
        <v>0</v>
      </c>
      <c r="F55" s="161">
        <v>0</v>
      </c>
      <c r="G55" s="161">
        <v>0</v>
      </c>
      <c r="H55" s="161">
        <v>0</v>
      </c>
      <c r="I55" s="161">
        <v>0</v>
      </c>
      <c r="J55" s="161">
        <v>0</v>
      </c>
      <c r="K55" s="161">
        <v>0</v>
      </c>
      <c r="L55" s="166">
        <f>+E55+F55+G55+H55+I55+J55+K55</f>
        <v>0</v>
      </c>
      <c r="M55" s="1"/>
      <c r="N55" s="1"/>
      <c r="O55" s="197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</row>
    <row r="56" spans="1:66" ht="15.75">
      <c r="A56" s="6">
        <f t="shared" ref="A56:A79" si="22">A55+1</f>
        <v>2</v>
      </c>
      <c r="B56" s="51">
        <f t="shared" ref="B56:D56" si="23">+B17</f>
        <v>6316</v>
      </c>
      <c r="C56" s="51" t="str">
        <f t="shared" si="23"/>
        <v>Env. Public Health Officer Admin.</v>
      </c>
      <c r="D56" s="165" t="str">
        <f t="shared" si="23"/>
        <v>Navarro, Leilani L. (10/01/2014)</v>
      </c>
      <c r="E56" s="161">
        <v>0</v>
      </c>
      <c r="F56" s="161">
        <v>0</v>
      </c>
      <c r="G56" s="161">
        <v>0</v>
      </c>
      <c r="H56" s="161">
        <v>0</v>
      </c>
      <c r="I56" s="161">
        <v>0</v>
      </c>
      <c r="J56" s="161">
        <v>0</v>
      </c>
      <c r="K56" s="161">
        <v>0</v>
      </c>
      <c r="L56" s="166">
        <f t="shared" ref="L56:L70" si="24">+E56+F56+G56+H56+I56+J56+K56</f>
        <v>0</v>
      </c>
      <c r="M56" s="1"/>
      <c r="N56" s="1"/>
      <c r="O56" s="197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</row>
    <row r="57" spans="1:66" ht="19.5" customHeight="1">
      <c r="A57" s="6">
        <f t="shared" si="22"/>
        <v>3</v>
      </c>
      <c r="B57" s="51">
        <f t="shared" ref="B57:D57" si="25">+B18</f>
        <v>6039</v>
      </c>
      <c r="C57" s="51" t="str">
        <f t="shared" si="25"/>
        <v>Env. Public Health Officer I (KPP III)</v>
      </c>
      <c r="D57" s="165" t="str">
        <f t="shared" si="25"/>
        <v>Maglaque, Aisleabesh (62%) (09/09/2024)</v>
      </c>
      <c r="E57" s="161">
        <v>0</v>
      </c>
      <c r="F57" s="161">
        <v>0</v>
      </c>
      <c r="G57" s="161">
        <v>0</v>
      </c>
      <c r="H57" s="161">
        <v>0</v>
      </c>
      <c r="I57" s="161">
        <v>0</v>
      </c>
      <c r="J57" s="161">
        <v>0</v>
      </c>
      <c r="K57" s="161">
        <v>0</v>
      </c>
      <c r="L57" s="166">
        <f t="shared" si="24"/>
        <v>0</v>
      </c>
      <c r="M57" s="1"/>
      <c r="N57" s="1"/>
      <c r="O57" s="197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</row>
    <row r="58" spans="1:66" ht="15.75">
      <c r="A58" s="6">
        <f t="shared" si="22"/>
        <v>4</v>
      </c>
      <c r="B58" s="51">
        <f t="shared" ref="B58:D58" si="26">+B19</f>
        <v>6165</v>
      </c>
      <c r="C58" s="51" t="str">
        <f t="shared" si="26"/>
        <v>Env. Public Health Officer I</v>
      </c>
      <c r="D58" s="165" t="str">
        <f t="shared" si="26"/>
        <v>Aninzo, Carl (75%) (09/10/2024)</v>
      </c>
      <c r="E58" s="161">
        <v>0</v>
      </c>
      <c r="F58" s="161">
        <v>0</v>
      </c>
      <c r="G58" s="161">
        <v>0</v>
      </c>
      <c r="H58" s="161">
        <v>0</v>
      </c>
      <c r="I58" s="161">
        <v>0</v>
      </c>
      <c r="J58" s="161">
        <v>0</v>
      </c>
      <c r="K58" s="161">
        <v>0</v>
      </c>
      <c r="L58" s="166">
        <f t="shared" si="24"/>
        <v>0</v>
      </c>
      <c r="M58" s="1"/>
      <c r="N58" s="1"/>
      <c r="O58" s="197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</row>
    <row r="59" spans="1:66" ht="15.75">
      <c r="A59" s="6">
        <f t="shared" si="22"/>
        <v>5</v>
      </c>
      <c r="B59" s="51">
        <f t="shared" ref="B59:D59" si="27">+B20</f>
        <v>6226</v>
      </c>
      <c r="C59" s="51" t="str">
        <f t="shared" si="27"/>
        <v>Env. Public Health Officer I</v>
      </c>
      <c r="D59" s="165" t="str">
        <f t="shared" si="27"/>
        <v>Tirador, Niel I.  (16%) (08/28/2019)</v>
      </c>
      <c r="E59" s="161">
        <v>0</v>
      </c>
      <c r="F59" s="161">
        <v>0</v>
      </c>
      <c r="G59" s="161">
        <v>0</v>
      </c>
      <c r="H59" s="161">
        <v>0</v>
      </c>
      <c r="I59" s="161">
        <v>0</v>
      </c>
      <c r="J59" s="161">
        <v>0</v>
      </c>
      <c r="K59" s="161">
        <v>0</v>
      </c>
      <c r="L59" s="166">
        <f t="shared" si="24"/>
        <v>0</v>
      </c>
      <c r="M59" s="1"/>
      <c r="N59" s="1"/>
      <c r="O59" s="197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</row>
    <row r="60" spans="1:66" ht="15.75">
      <c r="A60" s="6">
        <f t="shared" si="22"/>
        <v>6</v>
      </c>
      <c r="B60" s="51">
        <f t="shared" ref="B60:D60" si="28">+B21</f>
        <v>6409</v>
      </c>
      <c r="C60" s="51" t="str">
        <f t="shared" si="28"/>
        <v>Env. Public Health Officer I</v>
      </c>
      <c r="D60" s="165" t="str">
        <f t="shared" si="28"/>
        <v>Eata, Ervin R.  (75%) (02/05/2024)</v>
      </c>
      <c r="E60" s="161">
        <v>0</v>
      </c>
      <c r="F60" s="161">
        <v>0</v>
      </c>
      <c r="G60" s="161">
        <v>0</v>
      </c>
      <c r="H60" s="161">
        <v>0</v>
      </c>
      <c r="I60" s="161">
        <v>0</v>
      </c>
      <c r="J60" s="161">
        <v>0</v>
      </c>
      <c r="K60" s="161">
        <v>0</v>
      </c>
      <c r="L60" s="166">
        <f t="shared" si="24"/>
        <v>0</v>
      </c>
      <c r="M60" s="1"/>
      <c r="N60" s="1"/>
      <c r="O60" s="197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</row>
    <row r="61" spans="1:66" ht="15.75">
      <c r="A61" s="6">
        <f t="shared" si="22"/>
        <v>7</v>
      </c>
      <c r="B61" s="51">
        <f t="shared" ref="B61:D61" si="29">+B22</f>
        <v>6136</v>
      </c>
      <c r="C61" s="51" t="str">
        <f t="shared" si="29"/>
        <v>Environmental Technician II</v>
      </c>
      <c r="D61" s="165" t="str">
        <f t="shared" si="29"/>
        <v>Tainatongo, Donny (09/23/2024)</v>
      </c>
      <c r="E61" s="161">
        <v>0</v>
      </c>
      <c r="F61" s="161">
        <v>0</v>
      </c>
      <c r="G61" s="161">
        <v>0</v>
      </c>
      <c r="H61" s="161">
        <v>0</v>
      </c>
      <c r="I61" s="161">
        <v>0</v>
      </c>
      <c r="J61" s="161">
        <v>0</v>
      </c>
      <c r="K61" s="161">
        <v>0</v>
      </c>
      <c r="L61" s="166">
        <f t="shared" si="24"/>
        <v>0</v>
      </c>
      <c r="M61" s="1"/>
      <c r="N61" s="1"/>
      <c r="O61" s="197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</row>
    <row r="62" spans="1:66">
      <c r="A62" s="6">
        <f t="shared" si="22"/>
        <v>8</v>
      </c>
      <c r="B62" s="51">
        <f t="shared" ref="B62:D62" si="30">+B23</f>
        <v>6094</v>
      </c>
      <c r="C62" s="51" t="str">
        <f t="shared" si="30"/>
        <v>Customer Service Rep.</v>
      </c>
      <c r="D62" s="165" t="str">
        <f t="shared" si="30"/>
        <v>Velasco, Carmina (04/22/2024)</v>
      </c>
      <c r="E62" s="161">
        <v>0</v>
      </c>
      <c r="F62" s="161">
        <v>0</v>
      </c>
      <c r="G62" s="161">
        <v>0</v>
      </c>
      <c r="H62" s="161">
        <v>0</v>
      </c>
      <c r="I62" s="161">
        <v>0</v>
      </c>
      <c r="J62" s="161">
        <v>0</v>
      </c>
      <c r="K62" s="161">
        <v>0</v>
      </c>
      <c r="L62" s="166">
        <f t="shared" si="24"/>
        <v>0</v>
      </c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</row>
    <row r="63" spans="1:66">
      <c r="A63" s="6">
        <f t="shared" si="22"/>
        <v>9</v>
      </c>
      <c r="B63" s="51">
        <f t="shared" ref="B63:D63" si="31">+B24</f>
        <v>6062</v>
      </c>
      <c r="C63" s="51" t="str">
        <f t="shared" si="31"/>
        <v>Customer Service Rep.</v>
      </c>
      <c r="D63" s="165" t="str">
        <f t="shared" si="31"/>
        <v>Cepeda, Marie T.C. (10/15/2018)</v>
      </c>
      <c r="E63" s="161">
        <v>0</v>
      </c>
      <c r="F63" s="161">
        <v>0</v>
      </c>
      <c r="G63" s="161">
        <v>0</v>
      </c>
      <c r="H63" s="161">
        <v>0</v>
      </c>
      <c r="I63" s="161">
        <v>0</v>
      </c>
      <c r="J63" s="161">
        <v>0</v>
      </c>
      <c r="K63" s="161">
        <v>0</v>
      </c>
      <c r="L63" s="166">
        <f t="shared" si="24"/>
        <v>0</v>
      </c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</row>
    <row r="64" spans="1:66">
      <c r="A64" s="6">
        <f t="shared" si="22"/>
        <v>10</v>
      </c>
      <c r="B64" s="51">
        <f t="shared" ref="B64:D64" si="32">+B25</f>
        <v>6464</v>
      </c>
      <c r="C64" s="51" t="str">
        <f t="shared" si="32"/>
        <v>Customer Service Rep.</v>
      </c>
      <c r="D64" s="165" t="str">
        <f t="shared" si="32"/>
        <v>Mafnas, Deborah L. (04/20/1998)</v>
      </c>
      <c r="E64" s="161">
        <v>0</v>
      </c>
      <c r="F64" s="161">
        <v>0</v>
      </c>
      <c r="G64" s="161">
        <v>0</v>
      </c>
      <c r="H64" s="161">
        <v>0</v>
      </c>
      <c r="I64" s="161">
        <v>0</v>
      </c>
      <c r="J64" s="161">
        <v>0</v>
      </c>
      <c r="K64" s="161">
        <v>0</v>
      </c>
      <c r="L64" s="166">
        <f t="shared" si="24"/>
        <v>0</v>
      </c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</row>
    <row r="65" spans="1:66" ht="21.75">
      <c r="A65" s="6">
        <f t="shared" si="22"/>
        <v>11</v>
      </c>
      <c r="B65" s="51">
        <f t="shared" ref="B65:D65" si="33">+B26</f>
        <v>6182</v>
      </c>
      <c r="C65" s="51" t="str">
        <f t="shared" si="33"/>
        <v>Env. Public Health Officer I</v>
      </c>
      <c r="D65" s="165" t="str">
        <f t="shared" si="33"/>
        <v>Alarcon, Maria Cecilia V.  (03/20/2020)</v>
      </c>
      <c r="E65" s="161">
        <v>0</v>
      </c>
      <c r="F65" s="161">
        <v>0</v>
      </c>
      <c r="G65" s="161">
        <v>0</v>
      </c>
      <c r="H65" s="161">
        <v>0</v>
      </c>
      <c r="I65" s="161">
        <v>0</v>
      </c>
      <c r="J65" s="161">
        <v>0</v>
      </c>
      <c r="K65" s="161">
        <v>0</v>
      </c>
      <c r="L65" s="166">
        <f t="shared" si="24"/>
        <v>0</v>
      </c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</row>
    <row r="66" spans="1:66" ht="14.25" customHeight="1">
      <c r="A66" s="6">
        <f t="shared" si="22"/>
        <v>12</v>
      </c>
      <c r="B66" s="51" t="str">
        <f t="shared" ref="B66:D66" si="34">+B27</f>
        <v>DEH24-04</v>
      </c>
      <c r="C66" s="51" t="str">
        <f t="shared" si="34"/>
        <v>Environmental Technician Aide</v>
      </c>
      <c r="D66" s="165" t="str">
        <f t="shared" si="34"/>
        <v>Quidachay, Georgette (12/16/2024)</v>
      </c>
      <c r="E66" s="161">
        <v>0</v>
      </c>
      <c r="F66" s="161">
        <v>0</v>
      </c>
      <c r="G66" s="161">
        <v>0</v>
      </c>
      <c r="H66" s="161">
        <v>0</v>
      </c>
      <c r="I66" s="161">
        <v>0</v>
      </c>
      <c r="J66" s="161">
        <v>0</v>
      </c>
      <c r="K66" s="161">
        <v>0</v>
      </c>
      <c r="L66" s="166">
        <f t="shared" si="24"/>
        <v>0</v>
      </c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</row>
    <row r="67" spans="1:66">
      <c r="A67" s="6">
        <f t="shared" si="22"/>
        <v>13</v>
      </c>
      <c r="B67" s="51" t="str">
        <f t="shared" ref="B67:D67" si="35">+B28</f>
        <v>DEH24-03</v>
      </c>
      <c r="C67" s="51" t="str">
        <f t="shared" si="35"/>
        <v>Environmental Technician Aide</v>
      </c>
      <c r="D67" s="165" t="str">
        <f t="shared" si="35"/>
        <v>Paulino, Donna  (01/13/25)</v>
      </c>
      <c r="E67" s="161">
        <v>0</v>
      </c>
      <c r="F67" s="161">
        <v>0</v>
      </c>
      <c r="G67" s="161">
        <v>0</v>
      </c>
      <c r="H67" s="161">
        <v>0</v>
      </c>
      <c r="I67" s="161">
        <v>0</v>
      </c>
      <c r="J67" s="161">
        <v>0</v>
      </c>
      <c r="K67" s="161">
        <v>0</v>
      </c>
      <c r="L67" s="166">
        <f t="shared" si="24"/>
        <v>0</v>
      </c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</row>
    <row r="68" spans="1:66" ht="21.75">
      <c r="A68" s="6">
        <f t="shared" si="22"/>
        <v>14</v>
      </c>
      <c r="B68" s="51">
        <f t="shared" ref="B68:D68" si="36">+B29</f>
        <v>6290</v>
      </c>
      <c r="C68" s="51" t="str">
        <f t="shared" si="36"/>
        <v>Env. Public Health Officer I</v>
      </c>
      <c r="D68" s="165" t="str">
        <f t="shared" si="36"/>
        <v>Siliang, Raymond (75%) (02/17/25)</v>
      </c>
      <c r="E68" s="161">
        <v>0</v>
      </c>
      <c r="F68" s="161">
        <v>0</v>
      </c>
      <c r="G68" s="161">
        <v>0</v>
      </c>
      <c r="H68" s="161">
        <v>0</v>
      </c>
      <c r="I68" s="161">
        <v>0</v>
      </c>
      <c r="J68" s="161">
        <v>0</v>
      </c>
      <c r="K68" s="161">
        <v>0</v>
      </c>
      <c r="L68" s="166">
        <f t="shared" si="24"/>
        <v>0</v>
      </c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</row>
    <row r="69" spans="1:66">
      <c r="A69" s="6">
        <f t="shared" si="22"/>
        <v>15</v>
      </c>
      <c r="B69" s="51">
        <f t="shared" ref="B69:D69" si="37">+B30</f>
        <v>7030</v>
      </c>
      <c r="C69" s="51" t="str">
        <f t="shared" si="37"/>
        <v>Env. Public Health Officer I</v>
      </c>
      <c r="D69" s="165" t="str">
        <f t="shared" si="37"/>
        <v>Cruz, Bailey (75%) (02/10/25)</v>
      </c>
      <c r="E69" s="161">
        <v>0</v>
      </c>
      <c r="F69" s="161">
        <v>0</v>
      </c>
      <c r="G69" s="161">
        <v>0</v>
      </c>
      <c r="H69" s="161">
        <v>0</v>
      </c>
      <c r="I69" s="161">
        <v>0</v>
      </c>
      <c r="J69" s="161">
        <v>0</v>
      </c>
      <c r="K69" s="161">
        <v>0</v>
      </c>
      <c r="L69" s="166">
        <f t="shared" si="24"/>
        <v>0</v>
      </c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</row>
    <row r="70" spans="1:66">
      <c r="A70" s="6">
        <f t="shared" si="22"/>
        <v>16</v>
      </c>
      <c r="B70" s="51" t="str">
        <f t="shared" ref="B70:D70" si="38">+B31</f>
        <v>DEH24-02</v>
      </c>
      <c r="C70" s="51" t="str">
        <f t="shared" si="38"/>
        <v>Program Coordinator II (in leiu of E. Tech II)</v>
      </c>
      <c r="D70" s="165" t="str">
        <f t="shared" si="38"/>
        <v>Rosario, Ronna (02/17/25)  TA</v>
      </c>
      <c r="E70" s="161">
        <v>0</v>
      </c>
      <c r="F70" s="161">
        <v>0</v>
      </c>
      <c r="G70" s="161">
        <v>0</v>
      </c>
      <c r="H70" s="161">
        <v>0</v>
      </c>
      <c r="I70" s="161">
        <v>0</v>
      </c>
      <c r="J70" s="161">
        <v>0</v>
      </c>
      <c r="K70" s="161">
        <v>0</v>
      </c>
      <c r="L70" s="166">
        <f t="shared" si="24"/>
        <v>0</v>
      </c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</row>
    <row r="71" spans="1:66">
      <c r="A71" s="6">
        <f t="shared" si="22"/>
        <v>17</v>
      </c>
      <c r="B71" s="51"/>
      <c r="C71" s="51"/>
      <c r="D71" s="165"/>
      <c r="E71" s="161"/>
      <c r="F71" s="161"/>
      <c r="G71" s="161"/>
      <c r="H71" s="161"/>
      <c r="I71" s="161"/>
      <c r="J71" s="161"/>
      <c r="K71" s="161"/>
      <c r="L71" s="166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</row>
    <row r="72" spans="1:66">
      <c r="A72" s="6">
        <f t="shared" si="22"/>
        <v>18</v>
      </c>
      <c r="B72" s="51"/>
      <c r="C72" s="51"/>
      <c r="D72" s="51"/>
      <c r="E72" s="7"/>
      <c r="F72" s="7"/>
      <c r="G72" s="7"/>
      <c r="H72" s="7"/>
      <c r="I72" s="7"/>
      <c r="J72" s="33"/>
      <c r="K72" s="33"/>
      <c r="L72" s="15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</row>
    <row r="73" spans="1:66">
      <c r="A73" s="6">
        <f t="shared" si="22"/>
        <v>19</v>
      </c>
      <c r="B73" s="51"/>
      <c r="C73" s="51"/>
      <c r="D73" s="51"/>
      <c r="E73" s="7"/>
      <c r="F73" s="7"/>
      <c r="G73" s="7"/>
      <c r="H73" s="7"/>
      <c r="I73" s="7"/>
      <c r="J73" s="33"/>
      <c r="K73" s="33"/>
      <c r="L73" s="15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</row>
    <row r="74" spans="1:66">
      <c r="A74" s="6">
        <f t="shared" si="22"/>
        <v>20</v>
      </c>
      <c r="B74" s="51"/>
      <c r="C74" s="51"/>
      <c r="D74" s="51"/>
      <c r="E74" s="7"/>
      <c r="F74" s="7"/>
      <c r="G74" s="7"/>
      <c r="H74" s="7"/>
      <c r="I74" s="7"/>
      <c r="J74" s="33"/>
      <c r="K74" s="33"/>
      <c r="L74" s="15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</row>
    <row r="75" spans="1:66">
      <c r="A75" s="6">
        <f t="shared" si="22"/>
        <v>21</v>
      </c>
      <c r="B75" s="51"/>
      <c r="C75" s="51"/>
      <c r="D75" s="51"/>
      <c r="E75" s="7"/>
      <c r="F75" s="7"/>
      <c r="G75" s="7"/>
      <c r="H75" s="7"/>
      <c r="I75" s="7"/>
      <c r="J75" s="33"/>
      <c r="K75" s="33"/>
      <c r="L75" s="15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</row>
    <row r="76" spans="1:66">
      <c r="A76" s="6">
        <f t="shared" si="22"/>
        <v>22</v>
      </c>
      <c r="B76" s="51"/>
      <c r="C76" s="51"/>
      <c r="D76" s="51"/>
      <c r="E76" s="7"/>
      <c r="F76" s="7"/>
      <c r="G76" s="7"/>
      <c r="H76" s="7"/>
      <c r="I76" s="7"/>
      <c r="J76" s="33"/>
      <c r="K76" s="33"/>
      <c r="L76" s="15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</row>
    <row r="77" spans="1:66">
      <c r="A77" s="6">
        <f t="shared" si="22"/>
        <v>23</v>
      </c>
      <c r="B77" s="51"/>
      <c r="C77" s="51"/>
      <c r="D77" s="51"/>
      <c r="E77" s="7"/>
      <c r="F77" s="7"/>
      <c r="G77" s="7"/>
      <c r="H77" s="7"/>
      <c r="I77" s="7"/>
      <c r="J77" s="33"/>
      <c r="K77" s="33"/>
      <c r="L77" s="15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</row>
    <row r="78" spans="1:66">
      <c r="A78" s="6">
        <f t="shared" si="22"/>
        <v>24</v>
      </c>
      <c r="B78" s="51"/>
      <c r="C78" s="51"/>
      <c r="D78" s="51"/>
      <c r="E78" s="7"/>
      <c r="F78" s="7"/>
      <c r="G78" s="7"/>
      <c r="H78" s="7"/>
      <c r="I78" s="7"/>
      <c r="J78" s="33"/>
      <c r="K78" s="33"/>
      <c r="L78" s="15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</row>
    <row r="79" spans="1:66">
      <c r="A79" s="6">
        <f t="shared" si="22"/>
        <v>25</v>
      </c>
      <c r="B79" s="51"/>
      <c r="C79" s="51"/>
      <c r="D79" s="51"/>
      <c r="E79" s="7"/>
      <c r="F79" s="7"/>
      <c r="G79" s="7"/>
      <c r="H79" s="7"/>
      <c r="I79" s="7"/>
      <c r="J79" s="33"/>
      <c r="K79" s="33"/>
      <c r="L79" s="15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</row>
    <row r="80" spans="1:66">
      <c r="A80" s="14"/>
      <c r="B80" s="14"/>
      <c r="C80" s="14"/>
      <c r="D80" s="11" t="s">
        <v>90</v>
      </c>
      <c r="E80" s="10">
        <f>SUM(E55:E79)</f>
        <v>0</v>
      </c>
      <c r="F80" s="10">
        <f t="shared" ref="F80:L80" si="39">SUM(F55:F79)</f>
        <v>0</v>
      </c>
      <c r="G80" s="10">
        <f t="shared" si="39"/>
        <v>0</v>
      </c>
      <c r="H80" s="10">
        <f t="shared" si="39"/>
        <v>0</v>
      </c>
      <c r="I80" s="10">
        <f t="shared" si="39"/>
        <v>0</v>
      </c>
      <c r="J80" s="10">
        <f t="shared" si="39"/>
        <v>0</v>
      </c>
      <c r="K80" s="10">
        <f t="shared" si="39"/>
        <v>0</v>
      </c>
      <c r="L80" s="10">
        <f t="shared" si="39"/>
        <v>0</v>
      </c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</row>
    <row r="81" spans="1:56">
      <c r="A81" s="3" t="s">
        <v>98</v>
      </c>
      <c r="B81" s="3" t="s">
        <v>116</v>
      </c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</row>
    <row r="82" spans="1:56">
      <c r="A82" s="3" t="s">
        <v>99</v>
      </c>
      <c r="B82" s="3" t="s">
        <v>117</v>
      </c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</row>
    <row r="83" spans="1:56">
      <c r="A83" s="3" t="s">
        <v>100</v>
      </c>
      <c r="B83" s="3" t="s">
        <v>118</v>
      </c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</row>
    <row r="84" spans="1:56">
      <c r="A84" s="3" t="s">
        <v>60</v>
      </c>
      <c r="B84" s="3" t="s">
        <v>119</v>
      </c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</row>
    <row r="85" spans="1:56">
      <c r="A85" s="3" t="s">
        <v>101</v>
      </c>
      <c r="B85" s="3" t="s">
        <v>120</v>
      </c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</row>
    <row r="86" spans="1:56">
      <c r="A86" s="3" t="s">
        <v>102</v>
      </c>
      <c r="B86" s="3" t="s">
        <v>121</v>
      </c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</row>
    <row r="87" spans="1:56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</row>
  </sheetData>
  <mergeCells count="5">
    <mergeCell ref="A2:C2"/>
    <mergeCell ref="A4:C4"/>
    <mergeCell ref="A6:B6"/>
    <mergeCell ref="A8:B8"/>
    <mergeCell ref="I13:J14"/>
  </mergeCells>
  <printOptions horizontalCentered="1"/>
  <pageMargins left="0.19685039370078741" right="0.19685039370078741" top="0.98425196850393704" bottom="0.23622047244094491" header="0.31496062992125984" footer="0.31496062992125984"/>
  <pageSetup paperSize="5" scale="63" orientation="landscape" r:id="rId1"/>
  <headerFooter>
    <oddHeader>&amp;C&amp;"Times New Roman,Bold"Government of Guam
Fiscal Year 2025, Quarter 4
Agency Staffing Pattern</oddHeader>
  </headerFooter>
  <rowBreaks count="1" manualBreakCount="1">
    <brk id="4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9C69AA-5E01-44E2-B809-9428E56290C3}">
  <sheetPr>
    <tabColor theme="6" tint="0.79998168889431442"/>
  </sheetPr>
  <dimension ref="A1:BV87"/>
  <sheetViews>
    <sheetView view="pageBreakPreview" zoomScale="85" zoomScaleNormal="118" zoomScaleSheetLayoutView="85" zoomScalePageLayoutView="50" workbookViewId="0">
      <selection activeCell="H31" sqref="H31"/>
    </sheetView>
  </sheetViews>
  <sheetFormatPr defaultColWidth="8.77734375" defaultRowHeight="11.25"/>
  <cols>
    <col min="1" max="1" width="2.77734375" style="9" customWidth="1"/>
    <col min="2" max="2" width="5.77734375" style="9" customWidth="1"/>
    <col min="3" max="3" width="21.44140625" style="9" bestFit="1" customWidth="1"/>
    <col min="4" max="4" width="20.21875" style="9" customWidth="1"/>
    <col min="5" max="5" width="8" style="9" customWidth="1"/>
    <col min="6" max="6" width="8.21875" style="9" customWidth="1"/>
    <col min="7" max="7" width="8.77734375" style="9" customWidth="1"/>
    <col min="8" max="8" width="8.109375" style="9" customWidth="1"/>
    <col min="9" max="9" width="9.44140625" style="9" customWidth="1"/>
    <col min="10" max="10" width="6.77734375" style="9" customWidth="1"/>
    <col min="11" max="11" width="7.6640625" style="9" customWidth="1"/>
    <col min="12" max="12" width="11.6640625" style="9" bestFit="1" customWidth="1"/>
    <col min="13" max="13" width="9.21875" style="9" customWidth="1"/>
    <col min="14" max="14" width="8.6640625" style="9" customWidth="1"/>
    <col min="15" max="15" width="8" style="9" customWidth="1"/>
    <col min="16" max="16" width="6.77734375" style="9" customWidth="1"/>
    <col min="17" max="20" width="8.77734375" style="9" customWidth="1"/>
    <col min="21" max="16384" width="8.77734375" style="9"/>
  </cols>
  <sheetData>
    <row r="1" spans="1:74" ht="15.75">
      <c r="A1" s="3"/>
      <c r="B1" s="3"/>
      <c r="C1" s="3"/>
      <c r="D1" s="3"/>
      <c r="E1" s="3"/>
      <c r="F1" s="19" t="s">
        <v>0</v>
      </c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17" t="s">
        <v>0</v>
      </c>
      <c r="T1" s="3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</row>
    <row r="2" spans="1:74" ht="12.75">
      <c r="A2" s="227" t="s">
        <v>1</v>
      </c>
      <c r="B2" s="227"/>
      <c r="C2" s="227"/>
      <c r="D2" s="103" t="s">
        <v>2</v>
      </c>
      <c r="E2" s="3"/>
      <c r="F2" s="17" t="s">
        <v>0</v>
      </c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</row>
    <row r="3" spans="1:74" ht="8.1" customHeight="1">
      <c r="A3" s="67"/>
      <c r="B3" s="67"/>
      <c r="C3" s="67"/>
      <c r="D3" s="10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</row>
    <row r="4" spans="1:74" ht="12.75">
      <c r="A4" s="227" t="s">
        <v>3</v>
      </c>
      <c r="B4" s="227"/>
      <c r="C4" s="227"/>
      <c r="D4" s="103" t="s">
        <v>4</v>
      </c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</row>
    <row r="5" spans="1:74" ht="8.1" customHeight="1">
      <c r="A5" s="67"/>
      <c r="B5" s="67"/>
      <c r="C5" s="67"/>
      <c r="D5" s="10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</row>
    <row r="6" spans="1:74" ht="12.75">
      <c r="A6" s="227" t="s">
        <v>5</v>
      </c>
      <c r="B6" s="227"/>
      <c r="C6" s="67"/>
      <c r="D6" s="103" t="s">
        <v>160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</row>
    <row r="7" spans="1:74" ht="8.1" customHeight="1">
      <c r="A7" s="67"/>
      <c r="B7" s="67"/>
      <c r="C7" s="67"/>
      <c r="D7" s="10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</row>
    <row r="8" spans="1:74" ht="38.25">
      <c r="A8" s="227" t="s">
        <v>7</v>
      </c>
      <c r="B8" s="227"/>
      <c r="D8" s="157" t="s">
        <v>160</v>
      </c>
      <c r="E8" s="103" t="s">
        <v>161</v>
      </c>
      <c r="F8" s="104"/>
      <c r="G8" s="3"/>
      <c r="H8" s="3"/>
      <c r="I8" s="3"/>
      <c r="J8" s="3"/>
      <c r="K8" s="3"/>
      <c r="L8" s="5"/>
      <c r="M8" s="5"/>
      <c r="N8" s="5"/>
      <c r="O8" s="5"/>
      <c r="P8" s="5"/>
      <c r="Q8" s="5"/>
      <c r="R8" s="5"/>
      <c r="S8" s="5"/>
      <c r="T8" s="3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</row>
    <row r="9" spans="1:74" ht="15.75" thickBot="1">
      <c r="A9" s="3"/>
      <c r="B9" s="3"/>
      <c r="C9" s="3"/>
      <c r="D9" s="3"/>
      <c r="E9" s="3"/>
      <c r="F9"/>
      <c r="G9"/>
      <c r="H9"/>
      <c r="I9"/>
      <c r="J9"/>
      <c r="K9" s="3"/>
      <c r="L9" s="3"/>
      <c r="M9" s="3"/>
      <c r="N9" s="3"/>
      <c r="O9" s="3"/>
      <c r="P9" s="3"/>
      <c r="Q9"/>
      <c r="R9"/>
      <c r="S9" s="3"/>
      <c r="T9" s="3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</row>
    <row r="10" spans="1:74" ht="12.75" thickTop="1" thickBot="1">
      <c r="A10" s="3"/>
      <c r="B10" s="55" t="s">
        <v>10</v>
      </c>
      <c r="C10" s="56"/>
      <c r="D10" s="56"/>
      <c r="E10" s="56"/>
      <c r="F10" s="56"/>
      <c r="G10" s="56"/>
      <c r="H10" s="56"/>
      <c r="I10" s="56"/>
      <c r="J10" s="57"/>
      <c r="K10" s="3"/>
      <c r="L10" s="3"/>
      <c r="M10" s="3"/>
      <c r="N10" s="3"/>
      <c r="O10" s="3"/>
      <c r="P10" s="3"/>
      <c r="Q10" s="55" t="s">
        <v>10</v>
      </c>
      <c r="R10" s="57"/>
      <c r="S10" s="3"/>
      <c r="T10" s="3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</row>
    <row r="11" spans="1:74" ht="12" thickTop="1">
      <c r="A11" s="3"/>
      <c r="B11" s="43"/>
      <c r="C11" s="3"/>
      <c r="D11" s="3"/>
      <c r="E11" s="3"/>
      <c r="F11" s="3"/>
      <c r="G11" s="3"/>
      <c r="H11" s="3"/>
      <c r="I11" s="3"/>
      <c r="J11" s="42"/>
      <c r="K11" s="3"/>
      <c r="L11" s="3"/>
      <c r="M11" s="3"/>
      <c r="N11" s="3"/>
      <c r="O11" s="3"/>
      <c r="P11" s="3"/>
      <c r="Q11" s="43"/>
      <c r="R11" s="42"/>
      <c r="S11" s="3"/>
      <c r="T11" s="3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</row>
    <row r="12" spans="1:74">
      <c r="A12" s="3"/>
      <c r="B12" s="34" t="s">
        <v>11</v>
      </c>
      <c r="C12" s="45" t="s">
        <v>12</v>
      </c>
      <c r="D12" s="4" t="s">
        <v>13</v>
      </c>
      <c r="E12" s="45" t="s">
        <v>14</v>
      </c>
      <c r="F12" s="4" t="s">
        <v>15</v>
      </c>
      <c r="G12" s="32" t="s">
        <v>16</v>
      </c>
      <c r="H12" s="32" t="s">
        <v>17</v>
      </c>
      <c r="I12" s="32" t="s">
        <v>18</v>
      </c>
      <c r="J12" s="59" t="s">
        <v>19</v>
      </c>
      <c r="K12" s="45" t="s">
        <v>20</v>
      </c>
      <c r="L12" s="45" t="s">
        <v>21</v>
      </c>
      <c r="M12" s="4" t="s">
        <v>22</v>
      </c>
      <c r="N12" s="4" t="s">
        <v>23</v>
      </c>
      <c r="O12" s="4" t="s">
        <v>24</v>
      </c>
      <c r="P12" s="4" t="s">
        <v>25</v>
      </c>
      <c r="Q12" s="46" t="s">
        <v>26</v>
      </c>
      <c r="R12" s="59" t="s">
        <v>27</v>
      </c>
      <c r="S12" s="46" t="s">
        <v>28</v>
      </c>
      <c r="T12" s="18" t="s">
        <v>29</v>
      </c>
      <c r="U12" s="18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</row>
    <row r="13" spans="1:74">
      <c r="A13" s="20"/>
      <c r="B13" s="35" t="s">
        <v>0</v>
      </c>
      <c r="C13" s="54"/>
      <c r="D13" s="36" t="s">
        <v>0</v>
      </c>
      <c r="E13" s="36" t="s">
        <v>0</v>
      </c>
      <c r="F13" s="36" t="s">
        <v>0</v>
      </c>
      <c r="G13" s="38"/>
      <c r="H13" s="38" t="s">
        <v>0</v>
      </c>
      <c r="I13" s="223" t="s">
        <v>30</v>
      </c>
      <c r="J13" s="224"/>
      <c r="K13" s="22" t="s">
        <v>0</v>
      </c>
      <c r="L13" s="20"/>
      <c r="M13" s="22"/>
      <c r="N13" s="22"/>
      <c r="O13" s="22" t="s">
        <v>31</v>
      </c>
      <c r="P13" s="22"/>
      <c r="Q13" s="47"/>
      <c r="R13" s="48"/>
      <c r="S13" s="23"/>
      <c r="T13" s="23"/>
      <c r="U13" s="53"/>
      <c r="V13" s="53"/>
      <c r="W13" s="53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</row>
    <row r="14" spans="1:74">
      <c r="A14" s="24"/>
      <c r="B14" s="37" t="s">
        <v>32</v>
      </c>
      <c r="C14" s="38" t="s">
        <v>32</v>
      </c>
      <c r="D14" s="38" t="s">
        <v>33</v>
      </c>
      <c r="E14" s="38" t="s">
        <v>34</v>
      </c>
      <c r="F14" s="38" t="s">
        <v>0</v>
      </c>
      <c r="G14" s="38"/>
      <c r="H14" s="38" t="s">
        <v>0</v>
      </c>
      <c r="I14" s="225"/>
      <c r="J14" s="226"/>
      <c r="K14" s="25" t="s">
        <v>35</v>
      </c>
      <c r="L14" s="21" t="s">
        <v>36</v>
      </c>
      <c r="M14" s="21" t="s">
        <v>37</v>
      </c>
      <c r="N14" s="21" t="s">
        <v>38</v>
      </c>
      <c r="O14" s="21" t="s">
        <v>39</v>
      </c>
      <c r="P14" s="20" t="s">
        <v>40</v>
      </c>
      <c r="Q14" s="35" t="s">
        <v>41</v>
      </c>
      <c r="R14" s="49" t="s">
        <v>42</v>
      </c>
      <c r="S14" s="23" t="s">
        <v>43</v>
      </c>
      <c r="T14" s="26" t="s">
        <v>44</v>
      </c>
      <c r="U14" s="53"/>
      <c r="V14" s="53"/>
      <c r="W14" s="53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</row>
    <row r="15" spans="1:74" ht="12" thickBot="1">
      <c r="A15" s="27" t="s">
        <v>45</v>
      </c>
      <c r="B15" s="39" t="s">
        <v>46</v>
      </c>
      <c r="C15" s="40" t="s">
        <v>47</v>
      </c>
      <c r="D15" s="40" t="s">
        <v>48</v>
      </c>
      <c r="E15" s="40" t="s">
        <v>49</v>
      </c>
      <c r="F15" s="40" t="s">
        <v>50</v>
      </c>
      <c r="G15" s="40" t="s">
        <v>51</v>
      </c>
      <c r="H15" s="40" t="s">
        <v>52</v>
      </c>
      <c r="I15" s="41" t="s">
        <v>53</v>
      </c>
      <c r="J15" s="58" t="s">
        <v>54</v>
      </c>
      <c r="K15" s="31" t="s">
        <v>55</v>
      </c>
      <c r="L15" s="72" t="s">
        <v>56</v>
      </c>
      <c r="M15" s="28" t="s">
        <v>57</v>
      </c>
      <c r="N15" s="28" t="s">
        <v>58</v>
      </c>
      <c r="O15" s="28" t="s">
        <v>59</v>
      </c>
      <c r="P15" s="30" t="s">
        <v>60</v>
      </c>
      <c r="Q15" s="44" t="s">
        <v>61</v>
      </c>
      <c r="R15" s="50" t="s">
        <v>61</v>
      </c>
      <c r="S15" s="31" t="s">
        <v>62</v>
      </c>
      <c r="T15" s="28" t="s">
        <v>63</v>
      </c>
      <c r="U15" s="53"/>
      <c r="V15" s="53"/>
      <c r="W15" s="53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</row>
    <row r="16" spans="1:74" ht="12" thickTop="1">
      <c r="A16" s="6">
        <v>1</v>
      </c>
      <c r="B16" s="150">
        <v>6322</v>
      </c>
      <c r="C16" s="137" t="s">
        <v>78</v>
      </c>
      <c r="D16" s="137" t="s">
        <v>162</v>
      </c>
      <c r="E16" s="139" t="s">
        <v>163</v>
      </c>
      <c r="F16" s="188">
        <v>52523</v>
      </c>
      <c r="G16" s="189">
        <v>0</v>
      </c>
      <c r="H16" s="189">
        <v>0</v>
      </c>
      <c r="I16" s="151">
        <v>45977</v>
      </c>
      <c r="J16" s="189">
        <v>0</v>
      </c>
      <c r="K16" s="29">
        <f>(+F16+G16+H16+J16)</f>
        <v>52523</v>
      </c>
      <c r="L16" s="64">
        <f>+ROUND((K16*0.3077),0)</f>
        <v>16161</v>
      </c>
      <c r="M16" s="29">
        <f>+ROUND((19.01*26),0)</f>
        <v>494</v>
      </c>
      <c r="N16" s="16">
        <v>0</v>
      </c>
      <c r="O16" s="16">
        <f t="shared" ref="O16:O17" si="0">ROUND((K16*0.0145),0)</f>
        <v>762</v>
      </c>
      <c r="P16" s="16">
        <v>187</v>
      </c>
      <c r="Q16" s="123">
        <v>3994</v>
      </c>
      <c r="R16" s="123">
        <v>298</v>
      </c>
      <c r="S16" s="16">
        <f t="shared" ref="S16" si="1">+L16+M16+N16+O16+P16+Q16+R16</f>
        <v>21896</v>
      </c>
      <c r="T16" s="16">
        <f>+K16+S16</f>
        <v>74419</v>
      </c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</row>
    <row r="17" spans="1:74">
      <c r="A17" s="6">
        <f t="shared" ref="A17:A40" si="2">A16+1</f>
        <v>2</v>
      </c>
      <c r="B17" s="152">
        <v>6042</v>
      </c>
      <c r="C17" s="137" t="s">
        <v>164</v>
      </c>
      <c r="D17" s="137" t="s">
        <v>165</v>
      </c>
      <c r="E17" s="139" t="s">
        <v>166</v>
      </c>
      <c r="F17" s="192">
        <v>58373</v>
      </c>
      <c r="G17" s="193">
        <v>0</v>
      </c>
      <c r="H17" s="177">
        <v>0</v>
      </c>
      <c r="I17" s="151">
        <v>46401</v>
      </c>
      <c r="J17" s="177">
        <v>0</v>
      </c>
      <c r="K17" s="160">
        <f t="shared" ref="K17" si="3">(+F17+G17+H17+J17)</f>
        <v>58373</v>
      </c>
      <c r="L17" s="160">
        <f>+ROUND((K17*0.3077),0)</f>
        <v>17961</v>
      </c>
      <c r="M17" s="161">
        <f>+ROUND((19.01*26),0)</f>
        <v>494</v>
      </c>
      <c r="N17" s="160">
        <v>0</v>
      </c>
      <c r="O17" s="160">
        <f t="shared" si="0"/>
        <v>846</v>
      </c>
      <c r="P17" s="160">
        <v>187</v>
      </c>
      <c r="Q17" s="162">
        <v>9596</v>
      </c>
      <c r="R17" s="162">
        <v>329</v>
      </c>
      <c r="S17" s="160">
        <f>+L17+M17+N17+O17+P17+Q17+R17</f>
        <v>29413</v>
      </c>
      <c r="T17" s="160">
        <f t="shared" ref="T17" si="4">+K17+S17</f>
        <v>87786</v>
      </c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</row>
    <row r="18" spans="1:74" ht="12.75" customHeight="1">
      <c r="A18" s="6">
        <f t="shared" si="2"/>
        <v>3</v>
      </c>
      <c r="B18" s="152"/>
      <c r="C18" s="137"/>
      <c r="D18" s="137"/>
      <c r="E18" s="139"/>
      <c r="F18" s="192"/>
      <c r="G18" s="193"/>
      <c r="H18" s="177"/>
      <c r="I18" s="151"/>
      <c r="J18" s="177"/>
      <c r="K18" s="160"/>
      <c r="L18" s="160"/>
      <c r="M18" s="161"/>
      <c r="N18" s="160"/>
      <c r="O18" s="160"/>
      <c r="P18" s="160"/>
      <c r="Q18" s="162"/>
      <c r="R18" s="162"/>
      <c r="S18" s="160"/>
      <c r="T18" s="160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</row>
    <row r="19" spans="1:74">
      <c r="A19" s="6">
        <f t="shared" si="2"/>
        <v>4</v>
      </c>
      <c r="B19" s="127"/>
      <c r="C19" s="116"/>
      <c r="D19" s="116"/>
      <c r="E19" s="130"/>
      <c r="F19" s="132"/>
      <c r="G19" s="7"/>
      <c r="H19" s="146"/>
      <c r="I19" s="147"/>
      <c r="J19" s="146"/>
      <c r="K19" s="15"/>
      <c r="L19" s="15"/>
      <c r="M19" s="29"/>
      <c r="N19" s="15"/>
      <c r="O19" s="15"/>
      <c r="P19" s="16"/>
      <c r="Q19" s="149"/>
      <c r="R19" s="149"/>
      <c r="S19" s="15"/>
      <c r="T19" s="15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</row>
    <row r="20" spans="1:74" ht="12.75" customHeight="1">
      <c r="A20" s="6">
        <f t="shared" si="2"/>
        <v>5</v>
      </c>
      <c r="B20" s="128"/>
      <c r="C20" s="133"/>
      <c r="D20" s="134"/>
      <c r="E20" s="130"/>
      <c r="F20" s="135"/>
      <c r="G20" s="7"/>
      <c r="H20" s="146"/>
      <c r="I20" s="148"/>
      <c r="J20" s="146"/>
      <c r="K20" s="15"/>
      <c r="L20" s="15"/>
      <c r="M20" s="29"/>
      <c r="N20" s="15"/>
      <c r="O20" s="15"/>
      <c r="P20" s="16"/>
      <c r="Q20" s="149"/>
      <c r="R20" s="149"/>
      <c r="S20" s="15"/>
      <c r="T20" s="15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</row>
    <row r="21" spans="1:74">
      <c r="A21" s="6">
        <f t="shared" si="2"/>
        <v>6</v>
      </c>
      <c r="B21" s="136"/>
      <c r="C21" s="137"/>
      <c r="D21" s="138"/>
      <c r="E21" s="139"/>
      <c r="F21" s="140"/>
      <c r="G21" s="7"/>
      <c r="H21" s="146"/>
      <c r="I21" s="147"/>
      <c r="J21" s="146"/>
      <c r="K21" s="15"/>
      <c r="L21" s="15"/>
      <c r="M21" s="29"/>
      <c r="N21" s="15"/>
      <c r="O21" s="15"/>
      <c r="P21" s="16"/>
      <c r="Q21" s="149"/>
      <c r="R21" s="149"/>
      <c r="S21" s="15"/>
      <c r="T21" s="15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</row>
    <row r="22" spans="1:74">
      <c r="A22" s="6">
        <f t="shared" si="2"/>
        <v>7</v>
      </c>
      <c r="B22" s="141"/>
      <c r="C22" s="133"/>
      <c r="D22" s="134"/>
      <c r="E22" s="130"/>
      <c r="F22" s="135"/>
      <c r="G22" s="73"/>
      <c r="H22" s="146"/>
      <c r="I22" s="148"/>
      <c r="J22" s="146"/>
      <c r="K22" s="74"/>
      <c r="L22" s="15"/>
      <c r="M22" s="29"/>
      <c r="N22" s="74"/>
      <c r="O22" s="74"/>
      <c r="P22" s="16"/>
      <c r="Q22" s="149"/>
      <c r="R22" s="149"/>
      <c r="S22" s="74"/>
      <c r="T22" s="74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</row>
    <row r="23" spans="1:74">
      <c r="A23" s="6">
        <f t="shared" si="2"/>
        <v>8</v>
      </c>
      <c r="B23" s="124"/>
      <c r="C23" s="133"/>
      <c r="D23" s="134"/>
      <c r="E23" s="130"/>
      <c r="F23" s="131"/>
      <c r="G23" s="73"/>
      <c r="H23" s="146"/>
      <c r="I23" s="148"/>
      <c r="J23" s="146"/>
      <c r="K23" s="74"/>
      <c r="L23" s="15"/>
      <c r="M23" s="29"/>
      <c r="N23" s="74"/>
      <c r="O23" s="74"/>
      <c r="P23" s="16"/>
      <c r="Q23" s="149"/>
      <c r="R23" s="149"/>
      <c r="S23" s="74"/>
      <c r="T23" s="74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</row>
    <row r="24" spans="1:74">
      <c r="A24" s="6">
        <f t="shared" si="2"/>
        <v>9</v>
      </c>
      <c r="B24" s="128"/>
      <c r="C24" s="116"/>
      <c r="D24" s="129"/>
      <c r="E24" s="130"/>
      <c r="F24" s="131"/>
      <c r="G24" s="73"/>
      <c r="H24" s="146"/>
      <c r="I24" s="148"/>
      <c r="J24" s="146"/>
      <c r="K24" s="74"/>
      <c r="L24" s="15"/>
      <c r="M24" s="29"/>
      <c r="N24" s="74"/>
      <c r="O24" s="74"/>
      <c r="P24" s="16"/>
      <c r="Q24" s="149"/>
      <c r="R24" s="149"/>
      <c r="S24" s="74"/>
      <c r="T24" s="74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</row>
    <row r="25" spans="1:74">
      <c r="A25" s="6">
        <f t="shared" si="2"/>
        <v>10</v>
      </c>
      <c r="B25" s="142"/>
      <c r="C25" s="133"/>
      <c r="D25" s="129"/>
      <c r="E25" s="130"/>
      <c r="F25" s="143"/>
      <c r="G25" s="7"/>
      <c r="H25" s="146"/>
      <c r="I25" s="148"/>
      <c r="J25" s="146"/>
      <c r="K25" s="15"/>
      <c r="L25" s="15"/>
      <c r="M25" s="29"/>
      <c r="N25" s="15"/>
      <c r="O25" s="15"/>
      <c r="P25" s="16"/>
      <c r="Q25" s="149"/>
      <c r="R25" s="149"/>
      <c r="S25" s="15"/>
      <c r="T25" s="15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</row>
    <row r="26" spans="1:74">
      <c r="A26" s="6">
        <f t="shared" si="2"/>
        <v>11</v>
      </c>
      <c r="B26" s="144"/>
      <c r="C26" s="116"/>
      <c r="D26" s="116"/>
      <c r="E26" s="125"/>
      <c r="F26" s="126"/>
      <c r="G26" s="7"/>
      <c r="H26" s="146"/>
      <c r="I26" s="147"/>
      <c r="J26" s="146"/>
      <c r="K26" s="15"/>
      <c r="L26" s="15"/>
      <c r="M26" s="29"/>
      <c r="N26" s="15"/>
      <c r="O26" s="15"/>
      <c r="P26" s="16"/>
      <c r="Q26" s="149"/>
      <c r="R26" s="149"/>
      <c r="S26" s="15"/>
      <c r="T26" s="15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</row>
    <row r="27" spans="1:74">
      <c r="A27" s="6">
        <f t="shared" si="2"/>
        <v>12</v>
      </c>
      <c r="B27" s="128"/>
      <c r="C27" s="116"/>
      <c r="D27" s="145"/>
      <c r="E27" s="125"/>
      <c r="F27" s="132"/>
      <c r="G27" s="7"/>
      <c r="H27" s="146"/>
      <c r="I27" s="147"/>
      <c r="J27" s="146"/>
      <c r="K27" s="15"/>
      <c r="L27" s="15"/>
      <c r="M27" s="29"/>
      <c r="N27" s="15"/>
      <c r="O27" s="15"/>
      <c r="P27" s="16"/>
      <c r="Q27" s="149"/>
      <c r="R27" s="149"/>
      <c r="S27" s="15"/>
      <c r="T27" s="15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</row>
    <row r="28" spans="1:74">
      <c r="A28" s="6">
        <f t="shared" si="2"/>
        <v>13</v>
      </c>
      <c r="B28" s="69"/>
      <c r="C28" s="68"/>
      <c r="D28" s="70"/>
      <c r="E28" s="70"/>
      <c r="F28" s="7"/>
      <c r="G28" s="7"/>
      <c r="H28" s="66"/>
      <c r="I28" s="78"/>
      <c r="J28" s="79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</row>
    <row r="29" spans="1:74">
      <c r="A29" s="6">
        <f t="shared" si="2"/>
        <v>14</v>
      </c>
      <c r="B29" s="69"/>
      <c r="C29" s="77"/>
      <c r="D29" s="76"/>
      <c r="E29" s="75"/>
      <c r="F29" s="7"/>
      <c r="G29" s="73"/>
      <c r="H29" s="66"/>
      <c r="I29" s="80"/>
      <c r="J29" s="81"/>
      <c r="K29" s="74"/>
      <c r="L29" s="15"/>
      <c r="M29" s="82"/>
      <c r="N29" s="74"/>
      <c r="O29" s="74"/>
      <c r="P29" s="74"/>
      <c r="Q29" s="83"/>
      <c r="R29" s="83"/>
      <c r="S29" s="74"/>
      <c r="T29" s="74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</row>
    <row r="30" spans="1:74">
      <c r="A30" s="6">
        <f t="shared" si="2"/>
        <v>15</v>
      </c>
      <c r="B30" s="6"/>
      <c r="C30" s="52"/>
      <c r="D30" s="52"/>
      <c r="E30" s="52"/>
      <c r="F30" s="7"/>
      <c r="G30" s="7"/>
      <c r="H30" s="66"/>
      <c r="I30" s="78"/>
      <c r="J30" s="79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</row>
    <row r="31" spans="1:74">
      <c r="A31" s="6">
        <f t="shared" si="2"/>
        <v>16</v>
      </c>
      <c r="B31" s="6"/>
      <c r="C31" s="52"/>
      <c r="D31" s="52"/>
      <c r="E31" s="52"/>
      <c r="F31" s="7"/>
      <c r="G31" s="7"/>
      <c r="H31" s="66"/>
      <c r="I31" s="8"/>
      <c r="J31" s="33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</row>
    <row r="32" spans="1:74">
      <c r="A32" s="6">
        <f t="shared" si="2"/>
        <v>17</v>
      </c>
      <c r="B32" s="6"/>
      <c r="C32" s="52"/>
      <c r="D32" s="52"/>
      <c r="E32" s="52"/>
      <c r="F32" s="7"/>
      <c r="G32" s="7"/>
      <c r="H32" s="66"/>
      <c r="I32" s="8"/>
      <c r="J32" s="33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</row>
    <row r="33" spans="1:74">
      <c r="A33" s="6">
        <f t="shared" si="2"/>
        <v>18</v>
      </c>
      <c r="B33" s="6"/>
      <c r="C33" s="52"/>
      <c r="D33" s="52"/>
      <c r="E33" s="52"/>
      <c r="F33" s="7"/>
      <c r="G33" s="7"/>
      <c r="H33" s="66"/>
      <c r="I33" s="8"/>
      <c r="J33" s="33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</row>
    <row r="34" spans="1:74">
      <c r="A34" s="6">
        <f t="shared" si="2"/>
        <v>19</v>
      </c>
      <c r="B34" s="6"/>
      <c r="C34" s="52"/>
      <c r="D34" s="52"/>
      <c r="E34" s="52"/>
      <c r="F34" s="7"/>
      <c r="G34" s="73"/>
      <c r="H34" s="66"/>
      <c r="I34" s="8"/>
      <c r="J34" s="33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</row>
    <row r="35" spans="1:74">
      <c r="A35" s="6">
        <f t="shared" si="2"/>
        <v>20</v>
      </c>
      <c r="B35" s="6"/>
      <c r="C35" s="52"/>
      <c r="D35" s="52"/>
      <c r="E35" s="52"/>
      <c r="F35" s="7"/>
      <c r="G35" s="7"/>
      <c r="H35" s="66"/>
      <c r="I35" s="8"/>
      <c r="J35" s="33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</row>
    <row r="36" spans="1:74">
      <c r="A36" s="6">
        <f t="shared" si="2"/>
        <v>21</v>
      </c>
      <c r="B36" s="6"/>
      <c r="C36" s="52"/>
      <c r="D36" s="52"/>
      <c r="E36" s="52"/>
      <c r="F36" s="7"/>
      <c r="G36" s="7"/>
      <c r="H36" s="66"/>
      <c r="I36" s="8"/>
      <c r="J36" s="33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</row>
    <row r="37" spans="1:74">
      <c r="A37" s="6">
        <f t="shared" si="2"/>
        <v>22</v>
      </c>
      <c r="B37" s="6"/>
      <c r="C37" s="52"/>
      <c r="D37" s="52"/>
      <c r="E37" s="52"/>
      <c r="F37" s="7"/>
      <c r="G37" s="7"/>
      <c r="H37" s="66"/>
      <c r="I37" s="8"/>
      <c r="J37" s="33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</row>
    <row r="38" spans="1:74">
      <c r="A38" s="6">
        <f t="shared" si="2"/>
        <v>23</v>
      </c>
      <c r="B38" s="6"/>
      <c r="C38" s="52"/>
      <c r="D38" s="52"/>
      <c r="E38" s="52"/>
      <c r="F38" s="7"/>
      <c r="G38" s="7"/>
      <c r="H38" s="66"/>
      <c r="I38" s="8"/>
      <c r="J38" s="33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</row>
    <row r="39" spans="1:74">
      <c r="A39" s="6">
        <f t="shared" si="2"/>
        <v>24</v>
      </c>
      <c r="B39" s="6"/>
      <c r="C39" s="52"/>
      <c r="D39" s="52"/>
      <c r="E39" s="52"/>
      <c r="F39" s="7"/>
      <c r="G39" s="73"/>
      <c r="H39" s="66"/>
      <c r="I39" s="8"/>
      <c r="J39" s="33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</row>
    <row r="40" spans="1:74">
      <c r="A40" s="6">
        <f t="shared" si="2"/>
        <v>25</v>
      </c>
      <c r="B40" s="6"/>
      <c r="C40" s="52"/>
      <c r="D40" s="52"/>
      <c r="E40" s="52"/>
      <c r="F40" s="7"/>
      <c r="G40" s="7"/>
      <c r="H40" s="66"/>
      <c r="I40" s="8"/>
      <c r="J40" s="33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</row>
    <row r="41" spans="1:74">
      <c r="A41" s="14"/>
      <c r="B41" s="14"/>
      <c r="C41" s="14"/>
      <c r="D41" s="11" t="s">
        <v>90</v>
      </c>
      <c r="E41" s="13" t="s">
        <v>91</v>
      </c>
      <c r="F41" s="10">
        <f>SUM(F16:F40)</f>
        <v>110896</v>
      </c>
      <c r="G41" s="10">
        <f t="shared" ref="G41:H41" si="5">SUM(G16:G40)</f>
        <v>0</v>
      </c>
      <c r="H41" s="10">
        <f t="shared" si="5"/>
        <v>0</v>
      </c>
      <c r="I41" s="12" t="s">
        <v>91</v>
      </c>
      <c r="J41" s="10">
        <f>SUM(J16:J40)</f>
        <v>0</v>
      </c>
      <c r="K41" s="10">
        <f t="shared" ref="K41:T41" si="6">SUM(K16:K40)</f>
        <v>110896</v>
      </c>
      <c r="L41" s="10">
        <f t="shared" si="6"/>
        <v>34122</v>
      </c>
      <c r="M41" s="10">
        <f t="shared" si="6"/>
        <v>988</v>
      </c>
      <c r="N41" s="10">
        <f t="shared" si="6"/>
        <v>0</v>
      </c>
      <c r="O41" s="10">
        <f t="shared" si="6"/>
        <v>1608</v>
      </c>
      <c r="P41" s="10">
        <f t="shared" si="6"/>
        <v>374</v>
      </c>
      <c r="Q41" s="10">
        <f t="shared" si="6"/>
        <v>13590</v>
      </c>
      <c r="R41" s="10">
        <f t="shared" si="6"/>
        <v>627</v>
      </c>
      <c r="S41" s="10">
        <f t="shared" si="6"/>
        <v>51309</v>
      </c>
      <c r="T41" s="10">
        <f t="shared" si="6"/>
        <v>162205</v>
      </c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</row>
    <row r="42" spans="1:74" ht="12" customHeight="1">
      <c r="A42" s="17" t="s">
        <v>92</v>
      </c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</row>
    <row r="43" spans="1:74" ht="12.75">
      <c r="A43" s="17" t="s">
        <v>93</v>
      </c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</row>
    <row r="44" spans="1:74" ht="12.75">
      <c r="A44" s="71" t="s">
        <v>94</v>
      </c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</row>
    <row r="45" spans="1:74" ht="12.75">
      <c r="A45" s="71" t="s">
        <v>95</v>
      </c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</row>
    <row r="46" spans="1:74" ht="12.75">
      <c r="A46" s="71" t="s">
        <v>96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</row>
    <row r="47" spans="1:74" ht="12" thickBo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</row>
    <row r="48" spans="1:74" ht="12.75" thickTop="1" thickBot="1">
      <c r="A48" s="3"/>
      <c r="B48" s="84" t="s">
        <v>10</v>
      </c>
      <c r="C48" s="85"/>
      <c r="D48" s="85"/>
      <c r="E48" s="85"/>
      <c r="F48" s="85"/>
      <c r="G48" s="85"/>
      <c r="H48" s="85"/>
      <c r="I48" s="85"/>
      <c r="J48" s="86"/>
      <c r="K48" s="87"/>
      <c r="L48" s="88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</row>
    <row r="49" spans="1:66">
      <c r="A49" s="3"/>
      <c r="B49" s="89" t="s">
        <v>97</v>
      </c>
      <c r="C49" s="90"/>
      <c r="D49" s="90"/>
      <c r="E49" s="90"/>
      <c r="F49" s="90"/>
      <c r="G49" s="90"/>
      <c r="H49" s="90"/>
      <c r="I49" s="90"/>
      <c r="J49" s="90"/>
      <c r="K49" s="90"/>
      <c r="L49" s="9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</row>
    <row r="50" spans="1:66">
      <c r="A50" s="3"/>
      <c r="B50" s="92" t="s">
        <v>11</v>
      </c>
      <c r="C50" s="4" t="s">
        <v>12</v>
      </c>
      <c r="D50" s="4" t="s">
        <v>13</v>
      </c>
      <c r="E50" s="4" t="s">
        <v>14</v>
      </c>
      <c r="F50" s="4" t="s">
        <v>15</v>
      </c>
      <c r="G50" s="4" t="s">
        <v>16</v>
      </c>
      <c r="H50" s="4" t="s">
        <v>17</v>
      </c>
      <c r="I50" s="4" t="s">
        <v>18</v>
      </c>
      <c r="J50" s="4" t="s">
        <v>19</v>
      </c>
      <c r="K50" s="4" t="s">
        <v>20</v>
      </c>
      <c r="L50" s="93" t="s">
        <v>21</v>
      </c>
      <c r="M50" s="18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</row>
    <row r="51" spans="1:66">
      <c r="A51" s="3"/>
      <c r="B51" s="92"/>
      <c r="C51" s="45"/>
      <c r="D51" s="4"/>
      <c r="E51" s="45"/>
      <c r="F51" s="11" t="s">
        <v>98</v>
      </c>
      <c r="G51" s="63" t="s">
        <v>99</v>
      </c>
      <c r="H51" s="155" t="s">
        <v>100</v>
      </c>
      <c r="I51" s="155" t="s">
        <v>60</v>
      </c>
      <c r="J51" s="155" t="s">
        <v>101</v>
      </c>
      <c r="K51" s="155" t="s">
        <v>102</v>
      </c>
      <c r="L51" s="94"/>
      <c r="M51" s="18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</row>
    <row r="52" spans="1:66" ht="21.75">
      <c r="A52" s="20"/>
      <c r="B52" s="95" t="s">
        <v>0</v>
      </c>
      <c r="C52" s="54"/>
      <c r="D52" s="36" t="s">
        <v>0</v>
      </c>
      <c r="E52" s="36" t="s">
        <v>103</v>
      </c>
      <c r="F52" s="60" t="s">
        <v>104</v>
      </c>
      <c r="G52" s="38"/>
      <c r="H52" s="38" t="s">
        <v>0</v>
      </c>
      <c r="I52" s="61" t="s">
        <v>105</v>
      </c>
      <c r="J52" s="38" t="s">
        <v>106</v>
      </c>
      <c r="K52" s="38" t="s">
        <v>107</v>
      </c>
      <c r="L52" s="96" t="s">
        <v>0</v>
      </c>
      <c r="M52" s="53"/>
      <c r="N52" s="53"/>
      <c r="O52" s="197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</row>
    <row r="53" spans="1:66" ht="15.75">
      <c r="A53" s="24"/>
      <c r="B53" s="97" t="s">
        <v>32</v>
      </c>
      <c r="C53" s="38" t="s">
        <v>32</v>
      </c>
      <c r="D53" s="38" t="s">
        <v>33</v>
      </c>
      <c r="E53" s="38" t="s">
        <v>108</v>
      </c>
      <c r="F53" s="38" t="s">
        <v>108</v>
      </c>
      <c r="G53" s="38" t="s">
        <v>109</v>
      </c>
      <c r="H53" s="38" t="s">
        <v>109</v>
      </c>
      <c r="I53" s="38" t="s">
        <v>108</v>
      </c>
      <c r="J53" s="38" t="s">
        <v>108</v>
      </c>
      <c r="K53" s="38" t="s">
        <v>108</v>
      </c>
      <c r="L53" s="98" t="s">
        <v>110</v>
      </c>
      <c r="M53" s="53"/>
      <c r="N53" s="53"/>
      <c r="O53" s="197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</row>
    <row r="54" spans="1:66" ht="16.5" thickBot="1">
      <c r="A54" s="27" t="s">
        <v>45</v>
      </c>
      <c r="B54" s="99" t="s">
        <v>46</v>
      </c>
      <c r="C54" s="100" t="s">
        <v>111</v>
      </c>
      <c r="D54" s="100" t="s">
        <v>48</v>
      </c>
      <c r="E54" s="100"/>
      <c r="F54" s="101" t="s">
        <v>112</v>
      </c>
      <c r="G54" s="101" t="s">
        <v>112</v>
      </c>
      <c r="H54" s="101" t="s">
        <v>113</v>
      </c>
      <c r="I54" s="101" t="s">
        <v>114</v>
      </c>
      <c r="J54" s="101" t="s">
        <v>114</v>
      </c>
      <c r="K54" s="101" t="s">
        <v>115</v>
      </c>
      <c r="L54" s="102" t="s">
        <v>55</v>
      </c>
      <c r="M54" s="53"/>
      <c r="N54" s="53"/>
      <c r="O54" s="197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</row>
    <row r="55" spans="1:66" ht="15.75">
      <c r="A55" s="6">
        <v>1</v>
      </c>
      <c r="B55" s="51">
        <f t="shared" ref="B55:D55" si="7">+B16</f>
        <v>6322</v>
      </c>
      <c r="C55" s="51" t="str">
        <f t="shared" si="7"/>
        <v>Env. Public Health Officer I</v>
      </c>
      <c r="D55" s="165" t="str">
        <f t="shared" si="7"/>
        <v>Tumaneng, Jodi A.I. (11/27/2020)</v>
      </c>
      <c r="E55" s="161">
        <v>0</v>
      </c>
      <c r="F55" s="161">
        <v>0</v>
      </c>
      <c r="G55" s="161">
        <v>0</v>
      </c>
      <c r="H55" s="161">
        <v>0</v>
      </c>
      <c r="I55" s="161">
        <v>0</v>
      </c>
      <c r="J55" s="161">
        <v>0</v>
      </c>
      <c r="K55" s="161">
        <v>0</v>
      </c>
      <c r="L55" s="166">
        <f>+E55+F55+G55+H55+I55+J55+K55</f>
        <v>0</v>
      </c>
      <c r="M55" s="1"/>
      <c r="N55" s="1"/>
      <c r="O55" s="197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</row>
    <row r="56" spans="1:66" ht="15.75">
      <c r="A56" s="6">
        <f t="shared" ref="A56:A79" si="8">A55+1</f>
        <v>2</v>
      </c>
      <c r="B56" s="152">
        <v>6042</v>
      </c>
      <c r="C56" s="139" t="s">
        <v>164</v>
      </c>
      <c r="D56" s="139" t="s">
        <v>165</v>
      </c>
      <c r="E56" s="161">
        <v>0</v>
      </c>
      <c r="F56" s="161">
        <v>0</v>
      </c>
      <c r="G56" s="161">
        <v>0</v>
      </c>
      <c r="H56" s="161">
        <v>0</v>
      </c>
      <c r="I56" s="161">
        <v>0</v>
      </c>
      <c r="J56" s="161">
        <v>0</v>
      </c>
      <c r="K56" s="161">
        <v>0</v>
      </c>
      <c r="L56" s="166">
        <f t="shared" ref="L56" si="9">+E56+F56+G56+H56+I56+J56+K56</f>
        <v>0</v>
      </c>
      <c r="M56" s="1"/>
      <c r="N56" s="1"/>
      <c r="O56" s="197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</row>
    <row r="57" spans="1:66" ht="15.75">
      <c r="A57" s="6">
        <f t="shared" si="8"/>
        <v>3</v>
      </c>
      <c r="B57" s="51"/>
      <c r="C57" s="51"/>
      <c r="D57" s="165"/>
      <c r="E57" s="161"/>
      <c r="F57" s="161"/>
      <c r="G57" s="161"/>
      <c r="H57" s="161"/>
      <c r="I57" s="161"/>
      <c r="J57" s="161"/>
      <c r="K57" s="161"/>
      <c r="L57" s="166"/>
      <c r="M57" s="1"/>
      <c r="N57" s="1"/>
      <c r="O57" s="197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</row>
    <row r="58" spans="1:66" ht="15.75">
      <c r="A58" s="6">
        <f t="shared" si="8"/>
        <v>4</v>
      </c>
      <c r="B58" s="51"/>
      <c r="C58" s="51"/>
      <c r="D58" s="165"/>
      <c r="E58" s="161"/>
      <c r="F58" s="161"/>
      <c r="G58" s="161"/>
      <c r="H58" s="161"/>
      <c r="I58" s="161"/>
      <c r="J58" s="161"/>
      <c r="K58" s="161"/>
      <c r="L58" s="166"/>
      <c r="M58" s="1"/>
      <c r="N58" s="1"/>
      <c r="O58" s="197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</row>
    <row r="59" spans="1:66">
      <c r="A59" s="6">
        <f t="shared" si="8"/>
        <v>5</v>
      </c>
      <c r="B59" s="51"/>
      <c r="C59" s="51"/>
      <c r="D59" s="51"/>
      <c r="E59" s="7"/>
      <c r="F59" s="7"/>
      <c r="G59" s="7"/>
      <c r="H59" s="7"/>
      <c r="I59" s="7"/>
      <c r="J59" s="33"/>
      <c r="K59" s="33"/>
      <c r="L59" s="15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</row>
    <row r="60" spans="1:66">
      <c r="A60" s="6">
        <f t="shared" si="8"/>
        <v>6</v>
      </c>
      <c r="B60" s="51"/>
      <c r="C60" s="51"/>
      <c r="D60" s="51"/>
      <c r="E60" s="7"/>
      <c r="F60" s="7"/>
      <c r="G60" s="7"/>
      <c r="H60" s="7"/>
      <c r="I60" s="7"/>
      <c r="J60" s="33"/>
      <c r="K60" s="33"/>
      <c r="L60" s="15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</row>
    <row r="61" spans="1:66">
      <c r="A61" s="6">
        <f t="shared" si="8"/>
        <v>7</v>
      </c>
      <c r="B61" s="51"/>
      <c r="C61" s="51"/>
      <c r="D61" s="51"/>
      <c r="E61" s="7"/>
      <c r="F61" s="7"/>
      <c r="G61" s="7"/>
      <c r="H61" s="7"/>
      <c r="I61" s="7"/>
      <c r="J61" s="33"/>
      <c r="K61" s="33"/>
      <c r="L61" s="15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</row>
    <row r="62" spans="1:66">
      <c r="A62" s="6">
        <f t="shared" si="8"/>
        <v>8</v>
      </c>
      <c r="B62" s="51"/>
      <c r="C62" s="51"/>
      <c r="D62" s="51"/>
      <c r="E62" s="7"/>
      <c r="F62" s="7"/>
      <c r="G62" s="7"/>
      <c r="H62" s="7"/>
      <c r="I62" s="7"/>
      <c r="J62" s="33"/>
      <c r="K62" s="33"/>
      <c r="L62" s="15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</row>
    <row r="63" spans="1:66">
      <c r="A63" s="6">
        <f t="shared" si="8"/>
        <v>9</v>
      </c>
      <c r="B63" s="51"/>
      <c r="C63" s="51"/>
      <c r="D63" s="51"/>
      <c r="E63" s="7"/>
      <c r="F63" s="7"/>
      <c r="G63" s="7"/>
      <c r="H63" s="7"/>
      <c r="I63" s="7"/>
      <c r="J63" s="33"/>
      <c r="K63" s="33"/>
      <c r="L63" s="15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</row>
    <row r="64" spans="1:66">
      <c r="A64" s="6">
        <f t="shared" si="8"/>
        <v>10</v>
      </c>
      <c r="B64" s="51"/>
      <c r="C64" s="51"/>
      <c r="D64" s="51"/>
      <c r="E64" s="7"/>
      <c r="F64" s="7"/>
      <c r="G64" s="7"/>
      <c r="H64" s="7"/>
      <c r="I64" s="7"/>
      <c r="J64" s="33"/>
      <c r="K64" s="33"/>
      <c r="L64" s="15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</row>
    <row r="65" spans="1:66">
      <c r="A65" s="6">
        <f t="shared" si="8"/>
        <v>11</v>
      </c>
      <c r="B65" s="51"/>
      <c r="C65" s="51"/>
      <c r="D65" s="51"/>
      <c r="E65" s="7"/>
      <c r="F65" s="7"/>
      <c r="G65" s="7"/>
      <c r="H65" s="7"/>
      <c r="I65" s="7"/>
      <c r="J65" s="33"/>
      <c r="K65" s="33"/>
      <c r="L65" s="15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</row>
    <row r="66" spans="1:66">
      <c r="A66" s="6">
        <f t="shared" si="8"/>
        <v>12</v>
      </c>
      <c r="B66" s="51"/>
      <c r="C66" s="51"/>
      <c r="D66" s="51"/>
      <c r="E66" s="7"/>
      <c r="F66" s="7"/>
      <c r="G66" s="7"/>
      <c r="H66" s="7"/>
      <c r="I66" s="7"/>
      <c r="J66" s="33"/>
      <c r="K66" s="33"/>
      <c r="L66" s="15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</row>
    <row r="67" spans="1:66">
      <c r="A67" s="6">
        <f t="shared" si="8"/>
        <v>13</v>
      </c>
      <c r="B67" s="51"/>
      <c r="C67" s="51"/>
      <c r="D67" s="51"/>
      <c r="E67" s="7"/>
      <c r="F67" s="7"/>
      <c r="G67" s="7"/>
      <c r="H67" s="7"/>
      <c r="I67" s="7"/>
      <c r="J67" s="33"/>
      <c r="K67" s="33"/>
      <c r="L67" s="15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</row>
    <row r="68" spans="1:66">
      <c r="A68" s="6">
        <f t="shared" si="8"/>
        <v>14</v>
      </c>
      <c r="B68" s="51"/>
      <c r="C68" s="51"/>
      <c r="D68" s="51"/>
      <c r="E68" s="7"/>
      <c r="F68" s="7"/>
      <c r="G68" s="7"/>
      <c r="H68" s="7"/>
      <c r="I68" s="7"/>
      <c r="J68" s="33"/>
      <c r="K68" s="33"/>
      <c r="L68" s="15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</row>
    <row r="69" spans="1:66">
      <c r="A69" s="6">
        <f t="shared" si="8"/>
        <v>15</v>
      </c>
      <c r="B69" s="51"/>
      <c r="C69" s="51"/>
      <c r="D69" s="51"/>
      <c r="E69" s="7"/>
      <c r="F69" s="7"/>
      <c r="G69" s="7"/>
      <c r="H69" s="7"/>
      <c r="I69" s="7"/>
      <c r="J69" s="33"/>
      <c r="K69" s="33"/>
      <c r="L69" s="15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</row>
    <row r="70" spans="1:66">
      <c r="A70" s="6">
        <f t="shared" si="8"/>
        <v>16</v>
      </c>
      <c r="B70" s="51"/>
      <c r="C70" s="51"/>
      <c r="D70" s="51"/>
      <c r="E70" s="7"/>
      <c r="F70" s="7"/>
      <c r="G70" s="7"/>
      <c r="H70" s="7"/>
      <c r="I70" s="7"/>
      <c r="J70" s="33"/>
      <c r="K70" s="33"/>
      <c r="L70" s="15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</row>
    <row r="71" spans="1:66">
      <c r="A71" s="6">
        <f t="shared" si="8"/>
        <v>17</v>
      </c>
      <c r="B71" s="51"/>
      <c r="C71" s="51"/>
      <c r="D71" s="51"/>
      <c r="E71" s="7"/>
      <c r="F71" s="7"/>
      <c r="G71" s="7"/>
      <c r="H71" s="7"/>
      <c r="I71" s="7"/>
      <c r="J71" s="33"/>
      <c r="K71" s="33"/>
      <c r="L71" s="15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</row>
    <row r="72" spans="1:66">
      <c r="A72" s="6">
        <f t="shared" si="8"/>
        <v>18</v>
      </c>
      <c r="B72" s="51"/>
      <c r="C72" s="51"/>
      <c r="D72" s="51"/>
      <c r="E72" s="7"/>
      <c r="F72" s="7"/>
      <c r="G72" s="7"/>
      <c r="H72" s="7"/>
      <c r="I72" s="7"/>
      <c r="J72" s="33"/>
      <c r="K72" s="33"/>
      <c r="L72" s="15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</row>
    <row r="73" spans="1:66">
      <c r="A73" s="6">
        <f t="shared" si="8"/>
        <v>19</v>
      </c>
      <c r="B73" s="51"/>
      <c r="C73" s="51"/>
      <c r="D73" s="51"/>
      <c r="E73" s="7"/>
      <c r="F73" s="7"/>
      <c r="G73" s="7"/>
      <c r="H73" s="7"/>
      <c r="I73" s="7"/>
      <c r="J73" s="33"/>
      <c r="K73" s="33"/>
      <c r="L73" s="15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</row>
    <row r="74" spans="1:66">
      <c r="A74" s="6">
        <f t="shared" si="8"/>
        <v>20</v>
      </c>
      <c r="B74" s="51"/>
      <c r="C74" s="51"/>
      <c r="D74" s="51"/>
      <c r="E74" s="7"/>
      <c r="F74" s="7"/>
      <c r="G74" s="7"/>
      <c r="H74" s="7"/>
      <c r="I74" s="7"/>
      <c r="J74" s="33"/>
      <c r="K74" s="33"/>
      <c r="L74" s="15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</row>
    <row r="75" spans="1:66">
      <c r="A75" s="6">
        <f t="shared" si="8"/>
        <v>21</v>
      </c>
      <c r="B75" s="51"/>
      <c r="C75" s="51"/>
      <c r="D75" s="51"/>
      <c r="E75" s="7"/>
      <c r="F75" s="7"/>
      <c r="G75" s="7"/>
      <c r="H75" s="7"/>
      <c r="I75" s="7"/>
      <c r="J75" s="33"/>
      <c r="K75" s="33"/>
      <c r="L75" s="15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</row>
    <row r="76" spans="1:66">
      <c r="A76" s="6">
        <f t="shared" si="8"/>
        <v>22</v>
      </c>
      <c r="B76" s="51"/>
      <c r="C76" s="51"/>
      <c r="D76" s="51"/>
      <c r="E76" s="7"/>
      <c r="F76" s="7"/>
      <c r="G76" s="7"/>
      <c r="H76" s="7"/>
      <c r="I76" s="7"/>
      <c r="J76" s="33"/>
      <c r="K76" s="33"/>
      <c r="L76" s="15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</row>
    <row r="77" spans="1:66">
      <c r="A77" s="6">
        <f t="shared" si="8"/>
        <v>23</v>
      </c>
      <c r="B77" s="51"/>
      <c r="C77" s="51"/>
      <c r="D77" s="51"/>
      <c r="E77" s="7"/>
      <c r="F77" s="7"/>
      <c r="G77" s="7"/>
      <c r="H77" s="7"/>
      <c r="I77" s="7"/>
      <c r="J77" s="33"/>
      <c r="K77" s="33"/>
      <c r="L77" s="15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</row>
    <row r="78" spans="1:66">
      <c r="A78" s="6">
        <f t="shared" si="8"/>
        <v>24</v>
      </c>
      <c r="B78" s="51"/>
      <c r="C78" s="51"/>
      <c r="D78" s="51"/>
      <c r="E78" s="7"/>
      <c r="F78" s="7"/>
      <c r="G78" s="7"/>
      <c r="H78" s="7"/>
      <c r="I78" s="7"/>
      <c r="J78" s="33"/>
      <c r="K78" s="33"/>
      <c r="L78" s="15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</row>
    <row r="79" spans="1:66">
      <c r="A79" s="6">
        <f t="shared" si="8"/>
        <v>25</v>
      </c>
      <c r="B79" s="51"/>
      <c r="C79" s="51"/>
      <c r="D79" s="51"/>
      <c r="E79" s="7"/>
      <c r="F79" s="7"/>
      <c r="G79" s="7"/>
      <c r="H79" s="7"/>
      <c r="I79" s="7"/>
      <c r="J79" s="33"/>
      <c r="K79" s="33"/>
      <c r="L79" s="15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</row>
    <row r="80" spans="1:66">
      <c r="A80" s="14"/>
      <c r="B80" s="14"/>
      <c r="C80" s="14"/>
      <c r="D80" s="11" t="s">
        <v>90</v>
      </c>
      <c r="E80" s="10">
        <f t="shared" ref="E80:L80" si="10">SUM(E55:E79)</f>
        <v>0</v>
      </c>
      <c r="F80" s="10">
        <f t="shared" si="10"/>
        <v>0</v>
      </c>
      <c r="G80" s="10">
        <f t="shared" si="10"/>
        <v>0</v>
      </c>
      <c r="H80" s="10">
        <f t="shared" si="10"/>
        <v>0</v>
      </c>
      <c r="I80" s="10">
        <f t="shared" si="10"/>
        <v>0</v>
      </c>
      <c r="J80" s="10">
        <f t="shared" si="10"/>
        <v>0</v>
      </c>
      <c r="K80" s="10">
        <f t="shared" si="10"/>
        <v>0</v>
      </c>
      <c r="L80" s="10">
        <f t="shared" si="10"/>
        <v>0</v>
      </c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</row>
    <row r="81" spans="1:56">
      <c r="A81" s="3" t="s">
        <v>98</v>
      </c>
      <c r="B81" s="3" t="s">
        <v>116</v>
      </c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</row>
    <row r="82" spans="1:56">
      <c r="A82" s="3" t="s">
        <v>99</v>
      </c>
      <c r="B82" s="3" t="s">
        <v>117</v>
      </c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</row>
    <row r="83" spans="1:56">
      <c r="A83" s="3" t="s">
        <v>100</v>
      </c>
      <c r="B83" s="3" t="s">
        <v>118</v>
      </c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</row>
    <row r="84" spans="1:56">
      <c r="A84" s="3" t="s">
        <v>60</v>
      </c>
      <c r="B84" s="3" t="s">
        <v>119</v>
      </c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</row>
    <row r="85" spans="1:56">
      <c r="A85" s="3" t="s">
        <v>101</v>
      </c>
      <c r="B85" s="3" t="s">
        <v>120</v>
      </c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</row>
    <row r="86" spans="1:56">
      <c r="A86" s="3" t="s">
        <v>102</v>
      </c>
      <c r="B86" s="3" t="s">
        <v>121</v>
      </c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</row>
    <row r="87" spans="1:56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</row>
  </sheetData>
  <mergeCells count="5">
    <mergeCell ref="A2:C2"/>
    <mergeCell ref="A4:C4"/>
    <mergeCell ref="A6:B6"/>
    <mergeCell ref="A8:B8"/>
    <mergeCell ref="I13:J14"/>
  </mergeCells>
  <printOptions horizontalCentered="1"/>
  <pageMargins left="0.19685039370078741" right="0.19685039370078741" top="0.98425196850393704" bottom="0.23622047244094491" header="0.31496062992125984" footer="0.31496062992125984"/>
  <pageSetup paperSize="5" scale="63" orientation="landscape" r:id="rId1"/>
  <headerFooter>
    <oddHeader>&amp;C&amp;"Times New Roman,Bold"Government of Guam
Fiscal Year 2025, Quarter 4
Agency Staffing Pattern</oddHeader>
  </headerFooter>
  <rowBreaks count="1" manualBreakCount="1">
    <brk id="4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0F6E50-8AF8-4AE5-B922-4D8926FE0C61}">
  <sheetPr>
    <tabColor theme="6" tint="0.79998168889431442"/>
  </sheetPr>
  <dimension ref="A1:BV87"/>
  <sheetViews>
    <sheetView view="pageBreakPreview" zoomScaleNormal="118" zoomScaleSheetLayoutView="100" zoomScalePageLayoutView="50" workbookViewId="0">
      <selection activeCell="H31" sqref="H31"/>
    </sheetView>
  </sheetViews>
  <sheetFormatPr defaultColWidth="8.77734375" defaultRowHeight="11.25"/>
  <cols>
    <col min="1" max="1" width="2.77734375" style="9" customWidth="1"/>
    <col min="2" max="2" width="5.77734375" style="9" customWidth="1"/>
    <col min="3" max="3" width="21.44140625" style="9" bestFit="1" customWidth="1"/>
    <col min="4" max="4" width="20.6640625" style="9" customWidth="1"/>
    <col min="5" max="5" width="8" style="9" customWidth="1"/>
    <col min="6" max="6" width="8.21875" style="9" customWidth="1"/>
    <col min="7" max="7" width="8.77734375" style="9" customWidth="1"/>
    <col min="8" max="8" width="8.109375" style="9" customWidth="1"/>
    <col min="9" max="9" width="9.44140625" style="9" customWidth="1"/>
    <col min="10" max="10" width="6.77734375" style="9" customWidth="1"/>
    <col min="11" max="11" width="7.6640625" style="9" customWidth="1"/>
    <col min="12" max="12" width="11.6640625" style="9" bestFit="1" customWidth="1"/>
    <col min="13" max="13" width="9.21875" style="9" customWidth="1"/>
    <col min="14" max="14" width="8.6640625" style="9" customWidth="1"/>
    <col min="15" max="15" width="8" style="9" customWidth="1"/>
    <col min="16" max="16" width="6.77734375" style="9" customWidth="1"/>
    <col min="17" max="20" width="8.77734375" style="9" customWidth="1"/>
    <col min="21" max="16384" width="8.77734375" style="9"/>
  </cols>
  <sheetData>
    <row r="1" spans="1:74" ht="15.75">
      <c r="A1" s="3"/>
      <c r="B1" s="3"/>
      <c r="C1" s="3"/>
      <c r="D1" s="3"/>
      <c r="E1" s="3"/>
      <c r="F1" s="19" t="s">
        <v>0</v>
      </c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17" t="s">
        <v>0</v>
      </c>
      <c r="T1" s="3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</row>
    <row r="2" spans="1:74" ht="12.75">
      <c r="A2" s="227" t="s">
        <v>1</v>
      </c>
      <c r="B2" s="227"/>
      <c r="C2" s="227"/>
      <c r="D2" s="103" t="s">
        <v>2</v>
      </c>
      <c r="E2" s="3"/>
      <c r="F2" s="17" t="s">
        <v>0</v>
      </c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</row>
    <row r="3" spans="1:74" ht="8.1" customHeight="1">
      <c r="A3" s="67"/>
      <c r="B3" s="67"/>
      <c r="C3" s="67"/>
      <c r="D3" s="10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</row>
    <row r="4" spans="1:74" ht="12.75">
      <c r="A4" s="227" t="s">
        <v>3</v>
      </c>
      <c r="B4" s="227"/>
      <c r="C4" s="227"/>
      <c r="D4" s="103" t="s">
        <v>4</v>
      </c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</row>
    <row r="5" spans="1:74" ht="8.1" customHeight="1">
      <c r="A5" s="67"/>
      <c r="B5" s="67"/>
      <c r="C5" s="67"/>
      <c r="D5" s="10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</row>
    <row r="6" spans="1:74" ht="12.75">
      <c r="A6" s="227" t="s">
        <v>5</v>
      </c>
      <c r="B6" s="227"/>
      <c r="C6" s="67"/>
      <c r="D6" s="103" t="s">
        <v>167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</row>
    <row r="7" spans="1:74" ht="8.1" customHeight="1">
      <c r="A7" s="67"/>
      <c r="B7" s="67"/>
      <c r="C7" s="67"/>
      <c r="D7" s="10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</row>
    <row r="8" spans="1:74" ht="12.75">
      <c r="A8" s="227" t="s">
        <v>7</v>
      </c>
      <c r="B8" s="227"/>
      <c r="D8" s="103" t="s">
        <v>168</v>
      </c>
      <c r="E8" s="103" t="s">
        <v>169</v>
      </c>
      <c r="F8" s="3"/>
      <c r="G8" s="3"/>
      <c r="H8" s="3"/>
      <c r="I8" s="3"/>
      <c r="J8" s="3"/>
      <c r="K8" s="3"/>
      <c r="L8" s="5"/>
      <c r="M8" s="5"/>
      <c r="N8" s="5"/>
      <c r="O8" s="5"/>
      <c r="P8" s="5"/>
      <c r="Q8" s="5"/>
      <c r="R8" s="5"/>
      <c r="S8" s="5"/>
      <c r="T8" s="3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</row>
    <row r="9" spans="1:74" ht="15.75" thickBot="1">
      <c r="A9" s="3"/>
      <c r="B9" s="3"/>
      <c r="C9" s="3"/>
      <c r="D9" s="3"/>
      <c r="E9" s="3"/>
      <c r="F9"/>
      <c r="G9"/>
      <c r="H9"/>
      <c r="I9"/>
      <c r="J9"/>
      <c r="K9" s="3"/>
      <c r="L9" s="3" t="s">
        <v>0</v>
      </c>
      <c r="M9" s="3"/>
      <c r="N9" s="3"/>
      <c r="O9" s="3"/>
      <c r="P9" s="3"/>
      <c r="Q9"/>
      <c r="R9"/>
      <c r="S9" s="3"/>
      <c r="T9" s="3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</row>
    <row r="10" spans="1:74" ht="12.75" thickTop="1" thickBot="1">
      <c r="A10" s="3"/>
      <c r="B10" s="55" t="s">
        <v>10</v>
      </c>
      <c r="C10" s="56"/>
      <c r="D10" s="56"/>
      <c r="E10" s="56"/>
      <c r="F10" s="56"/>
      <c r="G10" s="56"/>
      <c r="H10" s="56"/>
      <c r="I10" s="56"/>
      <c r="J10" s="57"/>
      <c r="K10" s="3"/>
      <c r="L10" s="3"/>
      <c r="M10" s="3"/>
      <c r="N10" s="3"/>
      <c r="O10" s="3"/>
      <c r="P10" s="3"/>
      <c r="Q10" s="55" t="s">
        <v>10</v>
      </c>
      <c r="R10" s="57"/>
      <c r="S10" s="3"/>
      <c r="T10" s="3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</row>
    <row r="11" spans="1:74" ht="12" thickTop="1">
      <c r="A11" s="3"/>
      <c r="B11" s="43"/>
      <c r="C11" s="3"/>
      <c r="D11" s="3"/>
      <c r="E11" s="3"/>
      <c r="F11" s="3"/>
      <c r="G11" s="3"/>
      <c r="H11" s="3"/>
      <c r="I11" s="3"/>
      <c r="J11" s="42"/>
      <c r="K11" s="3"/>
      <c r="L11" s="3"/>
      <c r="M11" s="3"/>
      <c r="N11" s="3"/>
      <c r="O11" s="3"/>
      <c r="P11" s="3"/>
      <c r="Q11" s="43"/>
      <c r="R11" s="42"/>
      <c r="S11" s="3"/>
      <c r="T11" s="3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</row>
    <row r="12" spans="1:74">
      <c r="A12" s="3"/>
      <c r="B12" s="34" t="s">
        <v>11</v>
      </c>
      <c r="C12" s="45" t="s">
        <v>12</v>
      </c>
      <c r="D12" s="4" t="s">
        <v>13</v>
      </c>
      <c r="E12" s="45" t="s">
        <v>14</v>
      </c>
      <c r="F12" s="4" t="s">
        <v>15</v>
      </c>
      <c r="G12" s="32" t="s">
        <v>16</v>
      </c>
      <c r="H12" s="32" t="s">
        <v>17</v>
      </c>
      <c r="I12" s="32" t="s">
        <v>18</v>
      </c>
      <c r="J12" s="59" t="s">
        <v>19</v>
      </c>
      <c r="K12" s="45" t="s">
        <v>20</v>
      </c>
      <c r="L12" s="45" t="s">
        <v>21</v>
      </c>
      <c r="M12" s="4" t="s">
        <v>22</v>
      </c>
      <c r="N12" s="4" t="s">
        <v>23</v>
      </c>
      <c r="O12" s="4" t="s">
        <v>24</v>
      </c>
      <c r="P12" s="4" t="s">
        <v>25</v>
      </c>
      <c r="Q12" s="46" t="s">
        <v>26</v>
      </c>
      <c r="R12" s="59" t="s">
        <v>27</v>
      </c>
      <c r="S12" s="46" t="s">
        <v>28</v>
      </c>
      <c r="T12" s="18" t="s">
        <v>29</v>
      </c>
      <c r="U12" s="18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</row>
    <row r="13" spans="1:74">
      <c r="A13" s="20"/>
      <c r="B13" s="35" t="s">
        <v>0</v>
      </c>
      <c r="C13" s="54"/>
      <c r="D13" s="36" t="s">
        <v>0</v>
      </c>
      <c r="E13" s="36" t="s">
        <v>0</v>
      </c>
      <c r="F13" s="36" t="s">
        <v>0</v>
      </c>
      <c r="G13" s="38"/>
      <c r="H13" s="38" t="s">
        <v>0</v>
      </c>
      <c r="I13" s="223" t="s">
        <v>30</v>
      </c>
      <c r="J13" s="224"/>
      <c r="K13" s="22" t="s">
        <v>0</v>
      </c>
      <c r="L13" s="20"/>
      <c r="M13" s="22"/>
      <c r="N13" s="22"/>
      <c r="O13" s="22" t="s">
        <v>31</v>
      </c>
      <c r="P13" s="22"/>
      <c r="Q13" s="47"/>
      <c r="R13" s="48"/>
      <c r="S13" s="23"/>
      <c r="T13" s="23"/>
      <c r="U13" s="53"/>
      <c r="V13" s="53"/>
      <c r="W13" s="53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</row>
    <row r="14" spans="1:74">
      <c r="A14" s="24"/>
      <c r="B14" s="37" t="s">
        <v>32</v>
      </c>
      <c r="C14" s="38" t="s">
        <v>32</v>
      </c>
      <c r="D14" s="38" t="s">
        <v>33</v>
      </c>
      <c r="E14" s="38" t="s">
        <v>34</v>
      </c>
      <c r="F14" s="38" t="s">
        <v>0</v>
      </c>
      <c r="G14" s="38"/>
      <c r="H14" s="38" t="s">
        <v>0</v>
      </c>
      <c r="I14" s="225"/>
      <c r="J14" s="226"/>
      <c r="K14" s="25" t="s">
        <v>35</v>
      </c>
      <c r="L14" s="21" t="s">
        <v>36</v>
      </c>
      <c r="M14" s="21" t="s">
        <v>37</v>
      </c>
      <c r="N14" s="21" t="s">
        <v>38</v>
      </c>
      <c r="O14" s="21" t="s">
        <v>39</v>
      </c>
      <c r="P14" s="20" t="s">
        <v>40</v>
      </c>
      <c r="Q14" s="35" t="s">
        <v>41</v>
      </c>
      <c r="R14" s="49" t="s">
        <v>42</v>
      </c>
      <c r="S14" s="23" t="s">
        <v>43</v>
      </c>
      <c r="T14" s="26" t="s">
        <v>44</v>
      </c>
      <c r="U14" s="53"/>
      <c r="V14" s="53"/>
      <c r="W14" s="53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</row>
    <row r="15" spans="1:74" ht="12" thickBot="1">
      <c r="A15" s="27" t="s">
        <v>45</v>
      </c>
      <c r="B15" s="39" t="s">
        <v>46</v>
      </c>
      <c r="C15" s="40" t="s">
        <v>47</v>
      </c>
      <c r="D15" s="40" t="s">
        <v>48</v>
      </c>
      <c r="E15" s="40" t="s">
        <v>49</v>
      </c>
      <c r="F15" s="40" t="s">
        <v>50</v>
      </c>
      <c r="G15" s="40" t="s">
        <v>51</v>
      </c>
      <c r="H15" s="40" t="s">
        <v>52</v>
      </c>
      <c r="I15" s="41" t="s">
        <v>53</v>
      </c>
      <c r="J15" s="58" t="s">
        <v>54</v>
      </c>
      <c r="K15" s="31" t="s">
        <v>55</v>
      </c>
      <c r="L15" s="72" t="s">
        <v>56</v>
      </c>
      <c r="M15" s="28" t="s">
        <v>57</v>
      </c>
      <c r="N15" s="28" t="s">
        <v>58</v>
      </c>
      <c r="O15" s="28" t="s">
        <v>59</v>
      </c>
      <c r="P15" s="30" t="s">
        <v>60</v>
      </c>
      <c r="Q15" s="44" t="s">
        <v>61</v>
      </c>
      <c r="R15" s="50" t="s">
        <v>61</v>
      </c>
      <c r="S15" s="31" t="s">
        <v>62</v>
      </c>
      <c r="T15" s="28" t="s">
        <v>63</v>
      </c>
      <c r="U15" s="53"/>
      <c r="V15" s="53"/>
      <c r="W15" s="53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</row>
    <row r="16" spans="1:74" ht="22.5" thickTop="1">
      <c r="A16" s="6">
        <v>1</v>
      </c>
      <c r="B16" s="150">
        <v>6335</v>
      </c>
      <c r="C16" s="137" t="s">
        <v>124</v>
      </c>
      <c r="D16" s="218" t="s">
        <v>170</v>
      </c>
      <c r="E16" s="139" t="s">
        <v>126</v>
      </c>
      <c r="F16" s="188">
        <f>ROUND((122466*0.28),0)</f>
        <v>34290</v>
      </c>
      <c r="G16" s="29">
        <v>0</v>
      </c>
      <c r="H16" s="189">
        <f>F16*0.15</f>
        <v>5143.5</v>
      </c>
      <c r="I16" s="151">
        <v>45748</v>
      </c>
      <c r="J16" s="189">
        <f>+ROUND((1943*0.28),0)</f>
        <v>544</v>
      </c>
      <c r="K16" s="29">
        <f>(+F16+G16+H16+J16)</f>
        <v>39977.5</v>
      </c>
      <c r="L16" s="64">
        <f>+ROUND((K16*0.3077),0)</f>
        <v>12301</v>
      </c>
      <c r="M16" s="29">
        <f>ROUND((495*0.28),0)</f>
        <v>139</v>
      </c>
      <c r="N16" s="16">
        <v>0</v>
      </c>
      <c r="O16" s="16">
        <f t="shared" ref="O16:O19" si="0">ROUND((K16*0.0145),0)</f>
        <v>580</v>
      </c>
      <c r="P16" s="16">
        <f>ROUND((187*0.28),0)</f>
        <v>52</v>
      </c>
      <c r="Q16" s="123">
        <f>ROUND((15670*0.28),0)</f>
        <v>4388</v>
      </c>
      <c r="R16" s="123">
        <f>ROUND((530*0.28),0)</f>
        <v>148</v>
      </c>
      <c r="S16" s="16">
        <f t="shared" ref="S16:S18" si="1">+L16+M16+N16+O16+P16+Q16+R16</f>
        <v>17608</v>
      </c>
      <c r="T16" s="16">
        <f>+K16+S16</f>
        <v>57585.5</v>
      </c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</row>
    <row r="17" spans="1:74" ht="10.5" customHeight="1">
      <c r="A17" s="6">
        <f t="shared" ref="A17:A40" si="2">A16+1</f>
        <v>2</v>
      </c>
      <c r="B17" s="136">
        <v>6226</v>
      </c>
      <c r="C17" s="207" t="s">
        <v>78</v>
      </c>
      <c r="D17" s="208" t="s">
        <v>171</v>
      </c>
      <c r="E17" s="179" t="s">
        <v>135</v>
      </c>
      <c r="F17" s="182">
        <f>ROUND((50605*0.84),0)</f>
        <v>42508</v>
      </c>
      <c r="G17" s="114">
        <v>0</v>
      </c>
      <c r="H17" s="177">
        <v>0</v>
      </c>
      <c r="I17" s="120">
        <v>45844</v>
      </c>
      <c r="J17" s="177">
        <f>ROUND((480*0.84),0)</f>
        <v>403</v>
      </c>
      <c r="K17" s="160">
        <f>(+F17+G17+H17+J17)</f>
        <v>42911</v>
      </c>
      <c r="L17" s="160">
        <f t="shared" ref="L17:L19" si="3">+ROUND((K17*0.3077),0)</f>
        <v>13204</v>
      </c>
      <c r="M17" s="161">
        <f>ROUND((495*0.84),0)</f>
        <v>416</v>
      </c>
      <c r="N17" s="160">
        <v>0</v>
      </c>
      <c r="O17" s="160">
        <f t="shared" si="0"/>
        <v>622</v>
      </c>
      <c r="P17" s="160">
        <f>ROUND((187*0.84),0)</f>
        <v>157</v>
      </c>
      <c r="Q17" s="162">
        <f>ROUND((3994*0.84),0)</f>
        <v>3355</v>
      </c>
      <c r="R17" s="162">
        <f>ROUND((298*0.84),0)</f>
        <v>250</v>
      </c>
      <c r="S17" s="160">
        <f t="shared" si="1"/>
        <v>18004</v>
      </c>
      <c r="T17" s="160">
        <f>+K17+S17</f>
        <v>60915</v>
      </c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</row>
    <row r="18" spans="1:74" ht="12.75" customHeight="1">
      <c r="A18" s="6">
        <f t="shared" si="2"/>
        <v>3</v>
      </c>
      <c r="B18" s="152">
        <v>6228</v>
      </c>
      <c r="C18" s="137" t="s">
        <v>172</v>
      </c>
      <c r="D18" s="219" t="s">
        <v>173</v>
      </c>
      <c r="E18" s="106" t="s">
        <v>83</v>
      </c>
      <c r="F18" s="114">
        <f>ROUND((34886*0.5),0)</f>
        <v>17443</v>
      </c>
      <c r="G18" s="7">
        <v>0</v>
      </c>
      <c r="H18" s="66">
        <f t="shared" ref="H18" si="4">+L57</f>
        <v>0</v>
      </c>
      <c r="I18" s="121">
        <v>45960</v>
      </c>
      <c r="J18" s="163">
        <v>0</v>
      </c>
      <c r="K18" s="160">
        <f t="shared" ref="K18:K19" si="5">(+F18+G18+H18+J18)</f>
        <v>17443</v>
      </c>
      <c r="L18" s="160">
        <f t="shared" si="3"/>
        <v>5367</v>
      </c>
      <c r="M18" s="161">
        <f>ROUND((495*0.5),0)</f>
        <v>248</v>
      </c>
      <c r="N18" s="160">
        <v>0</v>
      </c>
      <c r="O18" s="160">
        <f t="shared" si="0"/>
        <v>253</v>
      </c>
      <c r="P18" s="160">
        <f>187*0.5</f>
        <v>93.5</v>
      </c>
      <c r="Q18" s="162">
        <f>ROUND((15670*0.5),0)</f>
        <v>7835</v>
      </c>
      <c r="R18" s="162">
        <f>ROUND((530*0.5),0)</f>
        <v>265</v>
      </c>
      <c r="S18" s="160">
        <f t="shared" si="1"/>
        <v>14061.5</v>
      </c>
      <c r="T18" s="160">
        <f>+K18+S18</f>
        <v>31504.5</v>
      </c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</row>
    <row r="19" spans="1:74" ht="21.75" customHeight="1">
      <c r="A19" s="6">
        <f t="shared" si="2"/>
        <v>4</v>
      </c>
      <c r="B19" s="136">
        <v>6039</v>
      </c>
      <c r="C19" s="203" t="s">
        <v>130</v>
      </c>
      <c r="D19" s="211" t="s">
        <v>174</v>
      </c>
      <c r="E19" s="179" t="s">
        <v>132</v>
      </c>
      <c r="F19" s="180">
        <f>ROUND((45262*0.38),0)</f>
        <v>17200</v>
      </c>
      <c r="G19" s="114">
        <v>0</v>
      </c>
      <c r="H19" s="177">
        <v>0</v>
      </c>
      <c r="I19" s="151">
        <v>45909</v>
      </c>
      <c r="J19" s="177">
        <f>+ROUND((143*0.38),0)</f>
        <v>54</v>
      </c>
      <c r="K19" s="160">
        <f t="shared" si="5"/>
        <v>17254</v>
      </c>
      <c r="L19" s="160">
        <f t="shared" si="3"/>
        <v>5309</v>
      </c>
      <c r="M19" s="161">
        <f>ROUND((495*0.38),0)</f>
        <v>188</v>
      </c>
      <c r="N19" s="160">
        <v>0</v>
      </c>
      <c r="O19" s="160">
        <f t="shared" si="0"/>
        <v>250</v>
      </c>
      <c r="P19" s="160">
        <f>ROUND((187*0.38),0)</f>
        <v>71</v>
      </c>
      <c r="Q19" s="162">
        <f>ROUND((3994*0.38),0)</f>
        <v>1518</v>
      </c>
      <c r="R19" s="162">
        <f>ROUND((298*0.38),0)</f>
        <v>113</v>
      </c>
      <c r="S19" s="160">
        <f>+L19+M19+N19+O19+P19+Q19+R19</f>
        <v>7449</v>
      </c>
      <c r="T19" s="160">
        <f>+K19+S19</f>
        <v>24703</v>
      </c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</row>
    <row r="20" spans="1:74" ht="12.75" customHeight="1">
      <c r="A20" s="6">
        <f t="shared" si="2"/>
        <v>5</v>
      </c>
      <c r="B20" s="128"/>
      <c r="C20" s="133"/>
      <c r="D20" s="134"/>
      <c r="E20" s="130"/>
      <c r="F20" s="135"/>
      <c r="G20" s="7"/>
      <c r="H20" s="146"/>
      <c r="I20" s="148"/>
      <c r="J20" s="146"/>
      <c r="K20" s="15"/>
      <c r="L20" s="15"/>
      <c r="M20" s="29"/>
      <c r="N20" s="15"/>
      <c r="O20" s="15"/>
      <c r="P20" s="16"/>
      <c r="Q20" s="149"/>
      <c r="R20" s="149"/>
      <c r="S20" s="15"/>
      <c r="T20" s="15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</row>
    <row r="21" spans="1:74">
      <c r="A21" s="6">
        <f t="shared" si="2"/>
        <v>6</v>
      </c>
      <c r="B21" s="136"/>
      <c r="C21" s="137"/>
      <c r="D21" s="138"/>
      <c r="E21" s="139"/>
      <c r="F21" s="140"/>
      <c r="G21" s="7"/>
      <c r="H21" s="146"/>
      <c r="I21" s="147"/>
      <c r="J21" s="146"/>
      <c r="K21" s="15"/>
      <c r="L21" s="15"/>
      <c r="M21" s="29"/>
      <c r="N21" s="15"/>
      <c r="O21" s="15"/>
      <c r="P21" s="16"/>
      <c r="Q21" s="149"/>
      <c r="R21" s="149"/>
      <c r="S21" s="15"/>
      <c r="T21" s="15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</row>
    <row r="22" spans="1:74">
      <c r="A22" s="6">
        <f t="shared" si="2"/>
        <v>7</v>
      </c>
      <c r="B22" s="141"/>
      <c r="C22" s="133"/>
      <c r="D22" s="134"/>
      <c r="E22" s="130"/>
      <c r="F22" s="135"/>
      <c r="G22" s="73"/>
      <c r="H22" s="146"/>
      <c r="I22" s="148"/>
      <c r="J22" s="146"/>
      <c r="K22" s="74"/>
      <c r="L22" s="15"/>
      <c r="M22" s="29"/>
      <c r="N22" s="74"/>
      <c r="O22" s="74"/>
      <c r="P22" s="16"/>
      <c r="Q22" s="149"/>
      <c r="R22" s="149"/>
      <c r="S22" s="74"/>
      <c r="T22" s="74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</row>
    <row r="23" spans="1:74">
      <c r="A23" s="6">
        <f t="shared" si="2"/>
        <v>8</v>
      </c>
      <c r="B23" s="124"/>
      <c r="C23" s="133"/>
      <c r="D23" s="134"/>
      <c r="E23" s="130"/>
      <c r="F23" s="131"/>
      <c r="G23" s="73"/>
      <c r="H23" s="146"/>
      <c r="I23" s="148"/>
      <c r="J23" s="146"/>
      <c r="K23" s="74"/>
      <c r="L23" s="15"/>
      <c r="M23" s="29"/>
      <c r="N23" s="74"/>
      <c r="O23" s="74"/>
      <c r="P23" s="16"/>
      <c r="Q23" s="149"/>
      <c r="R23" s="149"/>
      <c r="S23" s="74"/>
      <c r="T23" s="74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</row>
    <row r="24" spans="1:74">
      <c r="A24" s="6">
        <f t="shared" si="2"/>
        <v>9</v>
      </c>
      <c r="B24" s="128"/>
      <c r="C24" s="116"/>
      <c r="D24" s="129"/>
      <c r="E24" s="130"/>
      <c r="F24" s="131"/>
      <c r="G24" s="73"/>
      <c r="H24" s="146"/>
      <c r="I24" s="148"/>
      <c r="J24" s="146"/>
      <c r="K24" s="74"/>
      <c r="L24" s="15"/>
      <c r="M24" s="29"/>
      <c r="N24" s="74"/>
      <c r="O24" s="74"/>
      <c r="P24" s="16"/>
      <c r="Q24" s="149"/>
      <c r="R24" s="149"/>
      <c r="S24" s="74"/>
      <c r="T24" s="74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</row>
    <row r="25" spans="1:74">
      <c r="A25" s="6">
        <f t="shared" si="2"/>
        <v>10</v>
      </c>
      <c r="B25" s="142"/>
      <c r="C25" s="133"/>
      <c r="D25" s="129"/>
      <c r="E25" s="130"/>
      <c r="F25" s="143"/>
      <c r="G25" s="7"/>
      <c r="H25" s="146"/>
      <c r="I25" s="148"/>
      <c r="J25" s="146"/>
      <c r="K25" s="15"/>
      <c r="L25" s="15"/>
      <c r="M25" s="29"/>
      <c r="N25" s="15"/>
      <c r="O25" s="15"/>
      <c r="P25" s="16"/>
      <c r="Q25" s="149"/>
      <c r="R25" s="149"/>
      <c r="S25" s="15"/>
      <c r="T25" s="15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</row>
    <row r="26" spans="1:74">
      <c r="A26" s="6">
        <f t="shared" si="2"/>
        <v>11</v>
      </c>
      <c r="B26" s="144"/>
      <c r="C26" s="116"/>
      <c r="D26" s="116"/>
      <c r="E26" s="125"/>
      <c r="F26" s="126"/>
      <c r="G26" s="7"/>
      <c r="H26" s="146"/>
      <c r="I26" s="147"/>
      <c r="J26" s="146"/>
      <c r="K26" s="15"/>
      <c r="L26" s="15"/>
      <c r="M26" s="29"/>
      <c r="N26" s="15"/>
      <c r="O26" s="15"/>
      <c r="P26" s="16"/>
      <c r="Q26" s="149"/>
      <c r="R26" s="149"/>
      <c r="S26" s="15"/>
      <c r="T26" s="15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</row>
    <row r="27" spans="1:74">
      <c r="A27" s="6">
        <f t="shared" si="2"/>
        <v>12</v>
      </c>
      <c r="B27" s="128"/>
      <c r="C27" s="116"/>
      <c r="D27" s="145"/>
      <c r="E27" s="125"/>
      <c r="F27" s="132"/>
      <c r="G27" s="7"/>
      <c r="H27" s="146"/>
      <c r="I27" s="147"/>
      <c r="J27" s="146"/>
      <c r="K27" s="15"/>
      <c r="L27" s="15"/>
      <c r="M27" s="29"/>
      <c r="N27" s="15"/>
      <c r="O27" s="15"/>
      <c r="P27" s="16"/>
      <c r="Q27" s="149"/>
      <c r="R27" s="149"/>
      <c r="S27" s="15"/>
      <c r="T27" s="15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</row>
    <row r="28" spans="1:74">
      <c r="A28" s="6">
        <f t="shared" si="2"/>
        <v>13</v>
      </c>
      <c r="B28" s="69"/>
      <c r="C28" s="68"/>
      <c r="D28" s="70"/>
      <c r="E28" s="70"/>
      <c r="F28" s="7"/>
      <c r="G28" s="7"/>
      <c r="H28" s="66"/>
      <c r="I28" s="78"/>
      <c r="J28" s="79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</row>
    <row r="29" spans="1:74">
      <c r="A29" s="6">
        <f t="shared" si="2"/>
        <v>14</v>
      </c>
      <c r="B29" s="69"/>
      <c r="C29" s="77"/>
      <c r="D29" s="76"/>
      <c r="E29" s="75"/>
      <c r="F29" s="7"/>
      <c r="G29" s="73"/>
      <c r="H29" s="66"/>
      <c r="I29" s="80"/>
      <c r="J29" s="81"/>
      <c r="K29" s="74"/>
      <c r="L29" s="15"/>
      <c r="M29" s="82"/>
      <c r="N29" s="74"/>
      <c r="O29" s="74"/>
      <c r="P29" s="74"/>
      <c r="Q29" s="83"/>
      <c r="R29" s="83"/>
      <c r="S29" s="74"/>
      <c r="T29" s="74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</row>
    <row r="30" spans="1:74">
      <c r="A30" s="6">
        <f t="shared" si="2"/>
        <v>15</v>
      </c>
      <c r="B30" s="6"/>
      <c r="C30" s="52"/>
      <c r="D30" s="52"/>
      <c r="E30" s="52"/>
      <c r="F30" s="7"/>
      <c r="G30" s="7"/>
      <c r="H30" s="66"/>
      <c r="I30" s="78"/>
      <c r="J30" s="79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</row>
    <row r="31" spans="1:74">
      <c r="A31" s="6">
        <f t="shared" si="2"/>
        <v>16</v>
      </c>
      <c r="B31" s="6"/>
      <c r="C31" s="52"/>
      <c r="D31" s="52"/>
      <c r="E31" s="52"/>
      <c r="F31" s="7"/>
      <c r="G31" s="7"/>
      <c r="H31" s="66"/>
      <c r="I31" s="8"/>
      <c r="J31" s="33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</row>
    <row r="32" spans="1:74">
      <c r="A32" s="6">
        <f t="shared" si="2"/>
        <v>17</v>
      </c>
      <c r="B32" s="6"/>
      <c r="C32" s="52"/>
      <c r="D32" s="52"/>
      <c r="E32" s="52"/>
      <c r="F32" s="7"/>
      <c r="G32" s="7"/>
      <c r="H32" s="66"/>
      <c r="I32" s="8"/>
      <c r="J32" s="33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</row>
    <row r="33" spans="1:74">
      <c r="A33" s="6">
        <f t="shared" si="2"/>
        <v>18</v>
      </c>
      <c r="B33" s="6"/>
      <c r="C33" s="52"/>
      <c r="D33" s="52"/>
      <c r="E33" s="52"/>
      <c r="F33" s="7"/>
      <c r="G33" s="7"/>
      <c r="H33" s="66"/>
      <c r="I33" s="8"/>
      <c r="J33" s="33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</row>
    <row r="34" spans="1:74">
      <c r="A34" s="6">
        <f t="shared" si="2"/>
        <v>19</v>
      </c>
      <c r="B34" s="6"/>
      <c r="C34" s="52"/>
      <c r="D34" s="52"/>
      <c r="E34" s="52"/>
      <c r="F34" s="7"/>
      <c r="G34" s="73"/>
      <c r="H34" s="66"/>
      <c r="I34" s="8"/>
      <c r="J34" s="33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</row>
    <row r="35" spans="1:74">
      <c r="A35" s="6">
        <f t="shared" si="2"/>
        <v>20</v>
      </c>
      <c r="B35" s="6"/>
      <c r="C35" s="52"/>
      <c r="D35" s="52"/>
      <c r="E35" s="52"/>
      <c r="F35" s="7"/>
      <c r="G35" s="7"/>
      <c r="H35" s="66"/>
      <c r="I35" s="8"/>
      <c r="J35" s="33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</row>
    <row r="36" spans="1:74">
      <c r="A36" s="6">
        <f t="shared" si="2"/>
        <v>21</v>
      </c>
      <c r="B36" s="6"/>
      <c r="C36" s="52"/>
      <c r="D36" s="52"/>
      <c r="E36" s="52"/>
      <c r="F36" s="7"/>
      <c r="G36" s="7"/>
      <c r="H36" s="66"/>
      <c r="I36" s="8"/>
      <c r="J36" s="33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</row>
    <row r="37" spans="1:74">
      <c r="A37" s="6">
        <f t="shared" si="2"/>
        <v>22</v>
      </c>
      <c r="B37" s="6"/>
      <c r="C37" s="52"/>
      <c r="D37" s="52"/>
      <c r="E37" s="52"/>
      <c r="F37" s="7"/>
      <c r="G37" s="7"/>
      <c r="H37" s="66"/>
      <c r="I37" s="8"/>
      <c r="J37" s="33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</row>
    <row r="38" spans="1:74">
      <c r="A38" s="6">
        <f t="shared" si="2"/>
        <v>23</v>
      </c>
      <c r="B38" s="6"/>
      <c r="C38" s="52"/>
      <c r="D38" s="52"/>
      <c r="E38" s="52"/>
      <c r="F38" s="7"/>
      <c r="G38" s="7"/>
      <c r="H38" s="66"/>
      <c r="I38" s="8"/>
      <c r="J38" s="33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</row>
    <row r="39" spans="1:74">
      <c r="A39" s="6">
        <f t="shared" si="2"/>
        <v>24</v>
      </c>
      <c r="B39" s="6"/>
      <c r="C39" s="52"/>
      <c r="D39" s="52"/>
      <c r="E39" s="52"/>
      <c r="F39" s="7"/>
      <c r="G39" s="73"/>
      <c r="H39" s="66"/>
      <c r="I39" s="8"/>
      <c r="J39" s="33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</row>
    <row r="40" spans="1:74">
      <c r="A40" s="6">
        <f t="shared" si="2"/>
        <v>25</v>
      </c>
      <c r="B40" s="6"/>
      <c r="C40" s="52"/>
      <c r="D40" s="52"/>
      <c r="E40" s="52"/>
      <c r="F40" s="7"/>
      <c r="G40" s="7"/>
      <c r="H40" s="66"/>
      <c r="I40" s="8"/>
      <c r="J40" s="33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</row>
    <row r="41" spans="1:74">
      <c r="A41" s="14"/>
      <c r="B41" s="14"/>
      <c r="C41" s="14"/>
      <c r="D41" s="11" t="s">
        <v>90</v>
      </c>
      <c r="E41" s="13" t="s">
        <v>91</v>
      </c>
      <c r="F41" s="10">
        <f>SUM(F16:F40)</f>
        <v>111441</v>
      </c>
      <c r="G41" s="10">
        <f t="shared" ref="G41:H41" si="6">SUM(G16:G40)</f>
        <v>0</v>
      </c>
      <c r="H41" s="10">
        <f t="shared" si="6"/>
        <v>5143.5</v>
      </c>
      <c r="I41" s="12" t="s">
        <v>91</v>
      </c>
      <c r="J41" s="10">
        <f>SUM(J16:J40)</f>
        <v>1001</v>
      </c>
      <c r="K41" s="10">
        <f t="shared" ref="K41:T41" si="7">SUM(K16:K40)</f>
        <v>117585.5</v>
      </c>
      <c r="L41" s="10">
        <f t="shared" si="7"/>
        <v>36181</v>
      </c>
      <c r="M41" s="10">
        <f t="shared" si="7"/>
        <v>991</v>
      </c>
      <c r="N41" s="10">
        <f t="shared" si="7"/>
        <v>0</v>
      </c>
      <c r="O41" s="10">
        <f t="shared" si="7"/>
        <v>1705</v>
      </c>
      <c r="P41" s="10">
        <f t="shared" si="7"/>
        <v>373.5</v>
      </c>
      <c r="Q41" s="10">
        <f t="shared" si="7"/>
        <v>17096</v>
      </c>
      <c r="R41" s="10">
        <f t="shared" si="7"/>
        <v>776</v>
      </c>
      <c r="S41" s="10">
        <f t="shared" si="7"/>
        <v>57122.5</v>
      </c>
      <c r="T41" s="10">
        <f t="shared" si="7"/>
        <v>174708</v>
      </c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</row>
    <row r="42" spans="1:74" ht="12" customHeight="1">
      <c r="A42" s="17" t="s">
        <v>92</v>
      </c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</row>
    <row r="43" spans="1:74" ht="12.75">
      <c r="A43" s="17" t="s">
        <v>93</v>
      </c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</row>
    <row r="44" spans="1:74" ht="12.75">
      <c r="A44" s="71" t="s">
        <v>94</v>
      </c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</row>
    <row r="45" spans="1:74" ht="12.75">
      <c r="A45" s="71" t="s">
        <v>95</v>
      </c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</row>
    <row r="46" spans="1:74" ht="12.75">
      <c r="A46" s="71" t="s">
        <v>96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</row>
    <row r="47" spans="1:74" ht="12" thickBo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</row>
    <row r="48" spans="1:74" ht="12.75" thickTop="1" thickBot="1">
      <c r="A48" s="3"/>
      <c r="B48" s="84" t="s">
        <v>10</v>
      </c>
      <c r="C48" s="85"/>
      <c r="D48" s="85"/>
      <c r="E48" s="85"/>
      <c r="F48" s="85"/>
      <c r="G48" s="85"/>
      <c r="H48" s="85"/>
      <c r="I48" s="85"/>
      <c r="J48" s="86"/>
      <c r="K48" s="87"/>
      <c r="L48" s="88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</row>
    <row r="49" spans="1:66">
      <c r="A49" s="3"/>
      <c r="B49" s="89" t="s">
        <v>97</v>
      </c>
      <c r="C49" s="90"/>
      <c r="D49" s="90"/>
      <c r="E49" s="90"/>
      <c r="F49" s="90"/>
      <c r="G49" s="90"/>
      <c r="H49" s="90"/>
      <c r="I49" s="90"/>
      <c r="J49" s="90"/>
      <c r="K49" s="90"/>
      <c r="L49" s="9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</row>
    <row r="50" spans="1:66">
      <c r="A50" s="3"/>
      <c r="B50" s="92" t="s">
        <v>11</v>
      </c>
      <c r="C50" s="4" t="s">
        <v>12</v>
      </c>
      <c r="D50" s="4" t="s">
        <v>13</v>
      </c>
      <c r="E50" s="4" t="s">
        <v>14</v>
      </c>
      <c r="F50" s="4" t="s">
        <v>15</v>
      </c>
      <c r="G50" s="4" t="s">
        <v>16</v>
      </c>
      <c r="H50" s="4" t="s">
        <v>17</v>
      </c>
      <c r="I50" s="4" t="s">
        <v>18</v>
      </c>
      <c r="J50" s="4" t="s">
        <v>19</v>
      </c>
      <c r="K50" s="4" t="s">
        <v>20</v>
      </c>
      <c r="L50" s="93" t="s">
        <v>21</v>
      </c>
      <c r="M50" s="18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</row>
    <row r="51" spans="1:66">
      <c r="A51" s="3"/>
      <c r="B51" s="92"/>
      <c r="C51" s="45"/>
      <c r="D51" s="4"/>
      <c r="E51" s="45"/>
      <c r="F51" s="11" t="s">
        <v>98</v>
      </c>
      <c r="G51" s="63" t="s">
        <v>99</v>
      </c>
      <c r="H51" s="155" t="s">
        <v>100</v>
      </c>
      <c r="I51" s="155" t="s">
        <v>60</v>
      </c>
      <c r="J51" s="155" t="s">
        <v>101</v>
      </c>
      <c r="K51" s="155" t="s">
        <v>102</v>
      </c>
      <c r="L51" s="94"/>
      <c r="M51" s="18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</row>
    <row r="52" spans="1:66" ht="21.75">
      <c r="A52" s="20"/>
      <c r="B52" s="95" t="s">
        <v>0</v>
      </c>
      <c r="C52" s="54"/>
      <c r="D52" s="36" t="s">
        <v>0</v>
      </c>
      <c r="E52" s="36" t="s">
        <v>103</v>
      </c>
      <c r="F52" s="60" t="s">
        <v>104</v>
      </c>
      <c r="G52" s="38"/>
      <c r="H52" s="38" t="s">
        <v>0</v>
      </c>
      <c r="I52" s="61" t="s">
        <v>105</v>
      </c>
      <c r="J52" s="38" t="s">
        <v>106</v>
      </c>
      <c r="K52" s="38" t="s">
        <v>107</v>
      </c>
      <c r="L52" s="96" t="s">
        <v>0</v>
      </c>
      <c r="M52" s="53"/>
      <c r="N52" s="53"/>
      <c r="O52" s="197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</row>
    <row r="53" spans="1:66" ht="15.75">
      <c r="A53" s="24"/>
      <c r="B53" s="97" t="s">
        <v>32</v>
      </c>
      <c r="C53" s="38" t="s">
        <v>32</v>
      </c>
      <c r="D53" s="38" t="s">
        <v>33</v>
      </c>
      <c r="E53" s="38" t="s">
        <v>108</v>
      </c>
      <c r="F53" s="38" t="s">
        <v>108</v>
      </c>
      <c r="G53" s="38" t="s">
        <v>109</v>
      </c>
      <c r="H53" s="38" t="s">
        <v>109</v>
      </c>
      <c r="I53" s="38" t="s">
        <v>108</v>
      </c>
      <c r="J53" s="38" t="s">
        <v>108</v>
      </c>
      <c r="K53" s="38" t="s">
        <v>108</v>
      </c>
      <c r="L53" s="98" t="s">
        <v>110</v>
      </c>
      <c r="M53" s="53"/>
      <c r="N53" s="53"/>
      <c r="O53" s="197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</row>
    <row r="54" spans="1:66" ht="16.5" thickBot="1">
      <c r="A54" s="27" t="s">
        <v>45</v>
      </c>
      <c r="B54" s="99" t="s">
        <v>46</v>
      </c>
      <c r="C54" s="100" t="s">
        <v>111</v>
      </c>
      <c r="D54" s="100" t="s">
        <v>48</v>
      </c>
      <c r="E54" s="100"/>
      <c r="F54" s="101" t="s">
        <v>112</v>
      </c>
      <c r="G54" s="101" t="s">
        <v>112</v>
      </c>
      <c r="H54" s="101" t="s">
        <v>113</v>
      </c>
      <c r="I54" s="101" t="s">
        <v>114</v>
      </c>
      <c r="J54" s="101" t="s">
        <v>114</v>
      </c>
      <c r="K54" s="101" t="s">
        <v>115</v>
      </c>
      <c r="L54" s="102" t="s">
        <v>55</v>
      </c>
      <c r="M54" s="53"/>
      <c r="N54" s="53"/>
      <c r="O54" s="197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</row>
    <row r="55" spans="1:66" ht="23.25" customHeight="1">
      <c r="A55" s="6">
        <v>1</v>
      </c>
      <c r="B55" s="51">
        <f t="shared" ref="B55:D55" si="8">+B16</f>
        <v>6335</v>
      </c>
      <c r="C55" s="51" t="str">
        <f t="shared" si="8"/>
        <v>Chief Env. Public Health Officer</v>
      </c>
      <c r="D55" s="165" t="str">
        <f t="shared" si="8"/>
        <v>Nadeau, Masatomo T. (28%) (06/01/1992)</v>
      </c>
      <c r="E55" s="161">
        <v>0</v>
      </c>
      <c r="F55" s="161">
        <v>0</v>
      </c>
      <c r="G55" s="161">
        <v>0</v>
      </c>
      <c r="H55" s="161">
        <v>0</v>
      </c>
      <c r="I55" s="161">
        <v>0</v>
      </c>
      <c r="J55" s="161">
        <v>0</v>
      </c>
      <c r="K55" s="161">
        <v>0</v>
      </c>
      <c r="L55" s="166">
        <f>+E55+F55+G55+H55+I55+J55+K55</f>
        <v>0</v>
      </c>
      <c r="M55" s="1"/>
      <c r="N55" s="1"/>
      <c r="O55" s="197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</row>
    <row r="56" spans="1:66" ht="18" customHeight="1">
      <c r="A56" s="6">
        <f t="shared" ref="A56:A72" si="9">A55+1</f>
        <v>2</v>
      </c>
      <c r="B56" s="51">
        <f t="shared" ref="B56:D56" si="10">+B17</f>
        <v>6226</v>
      </c>
      <c r="C56" s="51" t="str">
        <f t="shared" si="10"/>
        <v>Env. Public Health Officer I</v>
      </c>
      <c r="D56" s="165" t="str">
        <f t="shared" si="10"/>
        <v>Tirador, Niel I. (84%)  (08/28/2019)</v>
      </c>
      <c r="E56" s="161">
        <v>0</v>
      </c>
      <c r="F56" s="161">
        <v>0</v>
      </c>
      <c r="G56" s="161">
        <v>0</v>
      </c>
      <c r="H56" s="161">
        <v>0</v>
      </c>
      <c r="I56" s="161">
        <v>0</v>
      </c>
      <c r="J56" s="161">
        <v>0</v>
      </c>
      <c r="K56" s="161">
        <v>0</v>
      </c>
      <c r="L56" s="166">
        <f t="shared" ref="L56:L58" si="11">+E56+F56+G56+H56+I56+J56+K56</f>
        <v>0</v>
      </c>
      <c r="M56" s="1"/>
      <c r="N56" s="1"/>
      <c r="O56" s="197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</row>
    <row r="57" spans="1:66" ht="18" customHeight="1">
      <c r="A57" s="6">
        <f t="shared" si="9"/>
        <v>3</v>
      </c>
      <c r="B57" s="51">
        <f t="shared" ref="B57:D57" si="12">+B18</f>
        <v>6228</v>
      </c>
      <c r="C57" s="51" t="str">
        <f t="shared" si="12"/>
        <v>Env. Technician II</v>
      </c>
      <c r="D57" s="165" t="str">
        <f t="shared" si="12"/>
        <v>Lujan, Emorin (50%) (10/30/2024)</v>
      </c>
      <c r="E57" s="161">
        <v>0</v>
      </c>
      <c r="F57" s="161">
        <v>0</v>
      </c>
      <c r="G57" s="161">
        <v>0</v>
      </c>
      <c r="H57" s="161">
        <v>0</v>
      </c>
      <c r="I57" s="161">
        <v>0</v>
      </c>
      <c r="J57" s="161">
        <v>0</v>
      </c>
      <c r="K57" s="161">
        <v>0</v>
      </c>
      <c r="L57" s="166">
        <f t="shared" si="11"/>
        <v>0</v>
      </c>
      <c r="M57" s="1"/>
      <c r="N57" s="1"/>
      <c r="O57" s="197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</row>
    <row r="58" spans="1:66" ht="22.5" customHeight="1">
      <c r="A58" s="6">
        <f t="shared" si="9"/>
        <v>4</v>
      </c>
      <c r="B58" s="51">
        <f t="shared" ref="B58:D58" si="13">+B19</f>
        <v>6039</v>
      </c>
      <c r="C58" s="51" t="str">
        <f t="shared" si="13"/>
        <v>Env. Public Health Officer I (KPP III)</v>
      </c>
      <c r="D58" s="165" t="str">
        <f t="shared" si="13"/>
        <v>Maglaque, Aisleabesh (38%) (09/09/2024)</v>
      </c>
      <c r="E58" s="161">
        <v>0</v>
      </c>
      <c r="F58" s="161">
        <v>0</v>
      </c>
      <c r="G58" s="161">
        <v>0</v>
      </c>
      <c r="H58" s="161">
        <v>0</v>
      </c>
      <c r="I58" s="161">
        <v>0</v>
      </c>
      <c r="J58" s="161">
        <v>0</v>
      </c>
      <c r="K58" s="161">
        <v>0</v>
      </c>
      <c r="L58" s="166">
        <f t="shared" si="11"/>
        <v>0</v>
      </c>
      <c r="M58" s="1"/>
      <c r="N58" s="1"/>
      <c r="O58" s="197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</row>
    <row r="59" spans="1:66">
      <c r="A59" s="6">
        <f t="shared" si="9"/>
        <v>5</v>
      </c>
      <c r="B59" s="51"/>
      <c r="C59" s="51"/>
      <c r="D59" s="165"/>
      <c r="E59" s="161"/>
      <c r="F59" s="161"/>
      <c r="G59" s="161"/>
      <c r="H59" s="161"/>
      <c r="I59" s="161"/>
      <c r="J59" s="161"/>
      <c r="K59" s="161"/>
      <c r="L59" s="166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</row>
    <row r="60" spans="1:66">
      <c r="A60" s="6">
        <f t="shared" si="9"/>
        <v>6</v>
      </c>
      <c r="B60" s="51"/>
      <c r="C60" s="51"/>
      <c r="D60" s="51"/>
      <c r="E60" s="7"/>
      <c r="F60" s="7"/>
      <c r="G60" s="7"/>
      <c r="H60" s="7"/>
      <c r="I60" s="7"/>
      <c r="J60" s="33"/>
      <c r="K60" s="33"/>
      <c r="L60" s="15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</row>
    <row r="61" spans="1:66">
      <c r="A61" s="6">
        <f t="shared" si="9"/>
        <v>7</v>
      </c>
      <c r="B61" s="51"/>
      <c r="C61" s="51"/>
      <c r="D61" s="51"/>
      <c r="E61" s="7"/>
      <c r="F61" s="7"/>
      <c r="G61" s="7"/>
      <c r="H61" s="7"/>
      <c r="I61" s="7"/>
      <c r="J61" s="33"/>
      <c r="K61" s="33"/>
      <c r="L61" s="15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</row>
    <row r="62" spans="1:66">
      <c r="A62" s="6">
        <f t="shared" si="9"/>
        <v>8</v>
      </c>
      <c r="B62" s="51"/>
      <c r="C62" s="51"/>
      <c r="D62" s="51"/>
      <c r="E62" s="7"/>
      <c r="F62" s="7"/>
      <c r="G62" s="7"/>
      <c r="H62" s="7"/>
      <c r="I62" s="7"/>
      <c r="J62" s="33"/>
      <c r="K62" s="33"/>
      <c r="L62" s="15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</row>
    <row r="63" spans="1:66">
      <c r="A63" s="6">
        <f t="shared" si="9"/>
        <v>9</v>
      </c>
      <c r="B63" s="51"/>
      <c r="C63" s="51"/>
      <c r="D63" s="51"/>
      <c r="E63" s="7"/>
      <c r="F63" s="7"/>
      <c r="G63" s="7"/>
      <c r="H63" s="7"/>
      <c r="I63" s="7"/>
      <c r="J63" s="33"/>
      <c r="K63" s="33"/>
      <c r="L63" s="15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</row>
    <row r="64" spans="1:66">
      <c r="A64" s="6">
        <f t="shared" si="9"/>
        <v>10</v>
      </c>
      <c r="B64" s="51"/>
      <c r="C64" s="51"/>
      <c r="D64" s="51"/>
      <c r="E64" s="7"/>
      <c r="F64" s="7"/>
      <c r="G64" s="7"/>
      <c r="H64" s="7"/>
      <c r="I64" s="7"/>
      <c r="J64" s="33"/>
      <c r="K64" s="33"/>
      <c r="L64" s="15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</row>
    <row r="65" spans="1:66">
      <c r="A65" s="6">
        <f t="shared" si="9"/>
        <v>11</v>
      </c>
      <c r="B65" s="51"/>
      <c r="C65" s="51"/>
      <c r="D65" s="51"/>
      <c r="E65" s="7"/>
      <c r="F65" s="7"/>
      <c r="G65" s="7"/>
      <c r="H65" s="7"/>
      <c r="I65" s="7"/>
      <c r="J65" s="33"/>
      <c r="K65" s="33"/>
      <c r="L65" s="15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</row>
    <row r="66" spans="1:66">
      <c r="A66" s="6">
        <f t="shared" si="9"/>
        <v>12</v>
      </c>
      <c r="B66" s="51"/>
      <c r="C66" s="51"/>
      <c r="D66" s="51"/>
      <c r="E66" s="7"/>
      <c r="F66" s="7"/>
      <c r="G66" s="7"/>
      <c r="H66" s="7"/>
      <c r="I66" s="7"/>
      <c r="J66" s="33"/>
      <c r="K66" s="33"/>
      <c r="L66" s="15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</row>
    <row r="67" spans="1:66">
      <c r="A67" s="6">
        <f t="shared" si="9"/>
        <v>13</v>
      </c>
      <c r="B67" s="51"/>
      <c r="C67" s="51"/>
      <c r="D67" s="51"/>
      <c r="E67" s="7"/>
      <c r="F67" s="7"/>
      <c r="G67" s="7"/>
      <c r="H67" s="7"/>
      <c r="I67" s="7"/>
      <c r="J67" s="33"/>
      <c r="K67" s="33"/>
      <c r="L67" s="15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</row>
    <row r="68" spans="1:66">
      <c r="A68" s="6">
        <f t="shared" si="9"/>
        <v>14</v>
      </c>
      <c r="B68" s="51"/>
      <c r="C68" s="51"/>
      <c r="D68" s="51"/>
      <c r="E68" s="7"/>
      <c r="F68" s="7"/>
      <c r="G68" s="7"/>
      <c r="H68" s="7"/>
      <c r="I68" s="7"/>
      <c r="J68" s="33"/>
      <c r="K68" s="33"/>
      <c r="L68" s="15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</row>
    <row r="69" spans="1:66">
      <c r="A69" s="6">
        <f t="shared" si="9"/>
        <v>15</v>
      </c>
      <c r="B69" s="51"/>
      <c r="C69" s="51"/>
      <c r="D69" s="51"/>
      <c r="E69" s="7"/>
      <c r="F69" s="7"/>
      <c r="G69" s="7"/>
      <c r="H69" s="7"/>
      <c r="I69" s="7"/>
      <c r="J69" s="33"/>
      <c r="K69" s="33"/>
      <c r="L69" s="15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</row>
    <row r="70" spans="1:66">
      <c r="A70" s="6">
        <f t="shared" si="9"/>
        <v>16</v>
      </c>
      <c r="B70" s="51"/>
      <c r="C70" s="51"/>
      <c r="D70" s="51"/>
      <c r="E70" s="7"/>
      <c r="F70" s="7"/>
      <c r="G70" s="7"/>
      <c r="H70" s="7"/>
      <c r="I70" s="7"/>
      <c r="J70" s="33"/>
      <c r="K70" s="33"/>
      <c r="L70" s="15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</row>
    <row r="71" spans="1:66">
      <c r="A71" s="6">
        <f t="shared" si="9"/>
        <v>17</v>
      </c>
      <c r="B71" s="51"/>
      <c r="C71" s="51"/>
      <c r="D71" s="51"/>
      <c r="E71" s="7"/>
      <c r="F71" s="7"/>
      <c r="G71" s="7"/>
      <c r="H71" s="7"/>
      <c r="I71" s="7"/>
      <c r="J71" s="33"/>
      <c r="K71" s="33"/>
      <c r="L71" s="15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</row>
    <row r="72" spans="1:66">
      <c r="A72" s="6">
        <f t="shared" si="9"/>
        <v>18</v>
      </c>
      <c r="B72" s="51"/>
      <c r="C72" s="51"/>
      <c r="D72" s="51"/>
      <c r="E72" s="7"/>
      <c r="F72" s="7"/>
      <c r="G72" s="7"/>
      <c r="H72" s="7"/>
      <c r="I72" s="7"/>
      <c r="J72" s="33"/>
      <c r="K72" s="33"/>
      <c r="L72" s="15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</row>
    <row r="73" spans="1:66">
      <c r="A73" s="6">
        <v>19</v>
      </c>
      <c r="B73" s="51"/>
      <c r="C73" s="51"/>
      <c r="D73" s="51"/>
      <c r="E73" s="7"/>
      <c r="F73" s="7"/>
      <c r="G73" s="7"/>
      <c r="H73" s="7"/>
      <c r="I73" s="7"/>
      <c r="J73" s="33"/>
      <c r="K73" s="33"/>
      <c r="L73" s="15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</row>
    <row r="74" spans="1:66">
      <c r="A74" s="6">
        <v>20</v>
      </c>
      <c r="B74" s="51"/>
      <c r="C74" s="51"/>
      <c r="D74" s="51"/>
      <c r="E74" s="7"/>
      <c r="F74" s="7"/>
      <c r="G74" s="7"/>
      <c r="H74" s="7"/>
      <c r="I74" s="7"/>
      <c r="J74" s="33"/>
      <c r="K74" s="33"/>
      <c r="L74" s="15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</row>
    <row r="75" spans="1:66">
      <c r="A75" s="6">
        <v>21</v>
      </c>
      <c r="B75" s="51"/>
      <c r="C75" s="51"/>
      <c r="D75" s="51"/>
      <c r="E75" s="7"/>
      <c r="F75" s="7"/>
      <c r="G75" s="7"/>
      <c r="H75" s="7"/>
      <c r="I75" s="7"/>
      <c r="J75" s="33"/>
      <c r="K75" s="33"/>
      <c r="L75" s="15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</row>
    <row r="76" spans="1:66">
      <c r="A76" s="6">
        <v>22</v>
      </c>
      <c r="B76" s="51"/>
      <c r="C76" s="51"/>
      <c r="D76" s="51"/>
      <c r="E76" s="7"/>
      <c r="F76" s="7"/>
      <c r="G76" s="7"/>
      <c r="H76" s="7"/>
      <c r="I76" s="7"/>
      <c r="J76" s="33"/>
      <c r="K76" s="33"/>
      <c r="L76" s="15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</row>
    <row r="77" spans="1:66">
      <c r="A77" s="6">
        <v>23</v>
      </c>
      <c r="B77" s="51"/>
      <c r="C77" s="51"/>
      <c r="D77" s="51"/>
      <c r="E77" s="7"/>
      <c r="F77" s="7"/>
      <c r="G77" s="7"/>
      <c r="H77" s="7"/>
      <c r="I77" s="7"/>
      <c r="J77" s="33"/>
      <c r="K77" s="33"/>
      <c r="L77" s="15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</row>
    <row r="78" spans="1:66">
      <c r="A78" s="6">
        <v>24</v>
      </c>
      <c r="B78" s="51"/>
      <c r="C78" s="51"/>
      <c r="D78" s="51"/>
      <c r="E78" s="7"/>
      <c r="F78" s="7"/>
      <c r="G78" s="7"/>
      <c r="H78" s="7"/>
      <c r="I78" s="7"/>
      <c r="J78" s="33"/>
      <c r="K78" s="33"/>
      <c r="L78" s="15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</row>
    <row r="79" spans="1:66">
      <c r="A79" s="6">
        <v>25</v>
      </c>
      <c r="B79" s="51"/>
      <c r="C79" s="51"/>
      <c r="D79" s="51"/>
      <c r="E79" s="7"/>
      <c r="F79" s="7"/>
      <c r="G79" s="7"/>
      <c r="H79" s="7"/>
      <c r="I79" s="7"/>
      <c r="J79" s="33"/>
      <c r="K79" s="33"/>
      <c r="L79" s="15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</row>
    <row r="80" spans="1:66">
      <c r="A80" s="14"/>
      <c r="B80" s="14"/>
      <c r="C80" s="14"/>
      <c r="D80" s="11" t="s">
        <v>90</v>
      </c>
      <c r="E80" s="10">
        <f>SUM(E55:E79)</f>
        <v>0</v>
      </c>
      <c r="F80" s="10">
        <f t="shared" ref="F80:L80" si="14">SUM(F55:F79)</f>
        <v>0</v>
      </c>
      <c r="G80" s="10">
        <f t="shared" si="14"/>
        <v>0</v>
      </c>
      <c r="H80" s="10">
        <f t="shared" si="14"/>
        <v>0</v>
      </c>
      <c r="I80" s="10">
        <f t="shared" si="14"/>
        <v>0</v>
      </c>
      <c r="J80" s="10">
        <f t="shared" si="14"/>
        <v>0</v>
      </c>
      <c r="K80" s="10">
        <f t="shared" si="14"/>
        <v>0</v>
      </c>
      <c r="L80" s="10">
        <f t="shared" si="14"/>
        <v>0</v>
      </c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</row>
    <row r="81" spans="1:56">
      <c r="A81" s="3" t="s">
        <v>98</v>
      </c>
      <c r="B81" s="3" t="s">
        <v>116</v>
      </c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</row>
    <row r="82" spans="1:56">
      <c r="A82" s="3" t="s">
        <v>99</v>
      </c>
      <c r="B82" s="3" t="s">
        <v>117</v>
      </c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</row>
    <row r="83" spans="1:56">
      <c r="A83" s="3" t="s">
        <v>100</v>
      </c>
      <c r="B83" s="3" t="s">
        <v>118</v>
      </c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</row>
    <row r="84" spans="1:56">
      <c r="A84" s="3" t="s">
        <v>60</v>
      </c>
      <c r="B84" s="3" t="s">
        <v>119</v>
      </c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</row>
    <row r="85" spans="1:56">
      <c r="A85" s="3" t="s">
        <v>101</v>
      </c>
      <c r="B85" s="3" t="s">
        <v>120</v>
      </c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</row>
    <row r="86" spans="1:56">
      <c r="A86" s="3" t="s">
        <v>102</v>
      </c>
      <c r="B86" s="3" t="s">
        <v>121</v>
      </c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</row>
    <row r="87" spans="1:56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</row>
  </sheetData>
  <mergeCells count="5">
    <mergeCell ref="A2:C2"/>
    <mergeCell ref="A4:C4"/>
    <mergeCell ref="A6:B6"/>
    <mergeCell ref="A8:B8"/>
    <mergeCell ref="I13:J14"/>
  </mergeCells>
  <printOptions horizontalCentered="1"/>
  <pageMargins left="0.19685039370078741" right="0.19685039370078741" top="0.98425196850393704" bottom="0.23622047244094491" header="0.31496062992125984" footer="0.31496062992125984"/>
  <pageSetup paperSize="5" scale="63" orientation="landscape" r:id="rId1"/>
  <headerFooter>
    <oddHeader>&amp;C&amp;"Times New Roman,Bold"Government of Guam
Fiscal Year 2025, Quarter 4
Agency Staffing Pattern</oddHeader>
  </headerFooter>
  <rowBreaks count="1" manualBreakCount="1">
    <brk id="4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C26CAB-F52C-4523-BA42-52B08B59FC38}">
  <sheetPr>
    <tabColor theme="6" tint="0.79998168889431442"/>
  </sheetPr>
  <dimension ref="A1:BV87"/>
  <sheetViews>
    <sheetView view="pageBreakPreview" zoomScale="112" zoomScaleNormal="112" zoomScaleSheetLayoutView="112" zoomScalePageLayoutView="50" workbookViewId="0">
      <selection activeCell="H31" sqref="H31"/>
    </sheetView>
  </sheetViews>
  <sheetFormatPr defaultColWidth="8.77734375" defaultRowHeight="11.25"/>
  <cols>
    <col min="1" max="1" width="2.77734375" style="9" customWidth="1"/>
    <col min="2" max="2" width="5.77734375" style="9" customWidth="1"/>
    <col min="3" max="3" width="21.44140625" style="9" bestFit="1" customWidth="1"/>
    <col min="4" max="4" width="20.21875" style="9" customWidth="1"/>
    <col min="5" max="5" width="8" style="9" customWidth="1"/>
    <col min="6" max="6" width="8.21875" style="9" customWidth="1"/>
    <col min="7" max="7" width="8.77734375" style="9" customWidth="1"/>
    <col min="8" max="8" width="8.109375" style="9" customWidth="1"/>
    <col min="9" max="9" width="9.44140625" style="9" customWidth="1"/>
    <col min="10" max="10" width="6.77734375" style="9" customWidth="1"/>
    <col min="11" max="11" width="7.6640625" style="9" customWidth="1"/>
    <col min="12" max="12" width="11.6640625" style="9" bestFit="1" customWidth="1"/>
    <col min="13" max="13" width="9.21875" style="9" customWidth="1"/>
    <col min="14" max="14" width="8.6640625" style="9" customWidth="1"/>
    <col min="15" max="15" width="8" style="9" customWidth="1"/>
    <col min="16" max="16" width="6.77734375" style="9" customWidth="1"/>
    <col min="17" max="20" width="8.77734375" style="9" customWidth="1"/>
    <col min="21" max="16384" width="8.77734375" style="9"/>
  </cols>
  <sheetData>
    <row r="1" spans="1:74" ht="15.75">
      <c r="A1" s="3"/>
      <c r="B1" s="3"/>
      <c r="C1" s="3"/>
      <c r="D1" s="3"/>
      <c r="E1" s="3"/>
      <c r="F1" s="19" t="s">
        <v>0</v>
      </c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17" t="s">
        <v>0</v>
      </c>
      <c r="T1" s="3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</row>
    <row r="2" spans="1:74" ht="12.75">
      <c r="A2" s="227" t="s">
        <v>1</v>
      </c>
      <c r="B2" s="227"/>
      <c r="C2" s="227"/>
      <c r="D2" s="103" t="s">
        <v>2</v>
      </c>
      <c r="E2" s="3"/>
      <c r="F2" s="17" t="s">
        <v>0</v>
      </c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</row>
    <row r="3" spans="1:74" ht="8.1" customHeight="1">
      <c r="A3" s="67"/>
      <c r="B3" s="67"/>
      <c r="C3" s="67"/>
      <c r="D3" s="10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</row>
    <row r="4" spans="1:74" ht="12.75">
      <c r="A4" s="227" t="s">
        <v>3</v>
      </c>
      <c r="B4" s="227"/>
      <c r="C4" s="227"/>
      <c r="D4" s="103" t="s">
        <v>4</v>
      </c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</row>
    <row r="5" spans="1:74" ht="8.1" customHeight="1">
      <c r="A5" s="67"/>
      <c r="B5" s="67"/>
      <c r="C5" s="67"/>
      <c r="D5" s="10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</row>
    <row r="6" spans="1:74" ht="12.75">
      <c r="A6" s="227" t="s">
        <v>5</v>
      </c>
      <c r="B6" s="227"/>
      <c r="C6" s="67"/>
      <c r="D6" s="103" t="s">
        <v>175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</row>
    <row r="7" spans="1:74" ht="8.1" customHeight="1">
      <c r="A7" s="67"/>
      <c r="B7" s="67"/>
      <c r="C7" s="67"/>
      <c r="D7" s="10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</row>
    <row r="8" spans="1:74" ht="12.75">
      <c r="A8" s="227" t="s">
        <v>7</v>
      </c>
      <c r="B8" s="227"/>
      <c r="D8" s="103" t="s">
        <v>168</v>
      </c>
      <c r="E8" s="103" t="s">
        <v>176</v>
      </c>
      <c r="F8" s="3"/>
      <c r="G8" s="3"/>
      <c r="H8" s="3"/>
      <c r="I8" s="3"/>
      <c r="J8" s="3"/>
      <c r="K8" s="3"/>
      <c r="L8" s="5"/>
      <c r="M8" s="5"/>
      <c r="N8" s="5"/>
      <c r="O8" s="5"/>
      <c r="P8" s="5"/>
      <c r="Q8" s="5"/>
      <c r="R8" s="5"/>
      <c r="S8" s="5"/>
      <c r="T8" s="3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</row>
    <row r="9" spans="1:74" ht="15.75" thickBot="1">
      <c r="A9" s="3"/>
      <c r="B9" s="3"/>
      <c r="C9" s="3"/>
      <c r="D9" s="3"/>
      <c r="E9" s="3"/>
      <c r="F9"/>
      <c r="G9"/>
      <c r="H9"/>
      <c r="I9"/>
      <c r="J9"/>
      <c r="K9" s="3"/>
      <c r="L9" s="3"/>
      <c r="M9" s="3"/>
      <c r="N9" s="3"/>
      <c r="O9" s="3"/>
      <c r="P9" s="3"/>
      <c r="Q9"/>
      <c r="R9"/>
      <c r="S9" s="3"/>
      <c r="T9" s="3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</row>
    <row r="10" spans="1:74" ht="12.75" thickTop="1" thickBot="1">
      <c r="A10" s="3"/>
      <c r="B10" s="55" t="s">
        <v>10</v>
      </c>
      <c r="C10" s="56"/>
      <c r="D10" s="56"/>
      <c r="E10" s="56"/>
      <c r="F10" s="56"/>
      <c r="G10" s="56"/>
      <c r="H10" s="56"/>
      <c r="I10" s="56"/>
      <c r="J10" s="57"/>
      <c r="K10" s="3"/>
      <c r="L10" s="3"/>
      <c r="M10" s="3"/>
      <c r="N10" s="3"/>
      <c r="O10" s="3"/>
      <c r="P10" s="3"/>
      <c r="Q10" s="55" t="s">
        <v>10</v>
      </c>
      <c r="R10" s="57"/>
      <c r="S10" s="3"/>
      <c r="T10" s="3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</row>
    <row r="11" spans="1:74" ht="12" thickTop="1">
      <c r="A11" s="3"/>
      <c r="B11" s="43"/>
      <c r="C11" s="3"/>
      <c r="D11" s="3"/>
      <c r="E11" s="3"/>
      <c r="F11" s="3"/>
      <c r="G11" s="3"/>
      <c r="H11" s="3"/>
      <c r="I11" s="3"/>
      <c r="J11" s="42"/>
      <c r="K11" s="3"/>
      <c r="L11" s="3"/>
      <c r="M11" s="3"/>
      <c r="N11" s="3"/>
      <c r="O11" s="3"/>
      <c r="P11" s="3"/>
      <c r="Q11" s="43"/>
      <c r="R11" s="42"/>
      <c r="S11" s="3"/>
      <c r="T11" s="3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</row>
    <row r="12" spans="1:74">
      <c r="A12" s="3"/>
      <c r="B12" s="34" t="s">
        <v>11</v>
      </c>
      <c r="C12" s="45" t="s">
        <v>12</v>
      </c>
      <c r="D12" s="4" t="s">
        <v>13</v>
      </c>
      <c r="E12" s="45" t="s">
        <v>14</v>
      </c>
      <c r="F12" s="4" t="s">
        <v>15</v>
      </c>
      <c r="G12" s="32" t="s">
        <v>16</v>
      </c>
      <c r="H12" s="32" t="s">
        <v>17</v>
      </c>
      <c r="I12" s="32" t="s">
        <v>18</v>
      </c>
      <c r="J12" s="59" t="s">
        <v>19</v>
      </c>
      <c r="K12" s="45" t="s">
        <v>20</v>
      </c>
      <c r="L12" s="45" t="s">
        <v>21</v>
      </c>
      <c r="M12" s="4" t="s">
        <v>22</v>
      </c>
      <c r="N12" s="4" t="s">
        <v>23</v>
      </c>
      <c r="O12" s="4" t="s">
        <v>24</v>
      </c>
      <c r="P12" s="4" t="s">
        <v>25</v>
      </c>
      <c r="Q12" s="46" t="s">
        <v>26</v>
      </c>
      <c r="R12" s="59" t="s">
        <v>27</v>
      </c>
      <c r="S12" s="46" t="s">
        <v>28</v>
      </c>
      <c r="T12" s="18" t="s">
        <v>29</v>
      </c>
      <c r="U12" s="18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</row>
    <row r="13" spans="1:74">
      <c r="A13" s="20"/>
      <c r="B13" s="35" t="s">
        <v>0</v>
      </c>
      <c r="C13" s="54"/>
      <c r="D13" s="36" t="s">
        <v>0</v>
      </c>
      <c r="E13" s="36" t="s">
        <v>0</v>
      </c>
      <c r="F13" s="36" t="s">
        <v>0</v>
      </c>
      <c r="G13" s="38"/>
      <c r="H13" s="38" t="s">
        <v>0</v>
      </c>
      <c r="I13" s="223" t="s">
        <v>30</v>
      </c>
      <c r="J13" s="224"/>
      <c r="K13" s="22" t="s">
        <v>0</v>
      </c>
      <c r="L13" s="20"/>
      <c r="M13" s="22"/>
      <c r="N13" s="22"/>
      <c r="O13" s="22" t="s">
        <v>31</v>
      </c>
      <c r="P13" s="22"/>
      <c r="Q13" s="47"/>
      <c r="R13" s="48"/>
      <c r="S13" s="23"/>
      <c r="T13" s="23"/>
      <c r="U13" s="53"/>
      <c r="V13" s="53"/>
      <c r="W13" s="53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</row>
    <row r="14" spans="1:74">
      <c r="A14" s="24"/>
      <c r="B14" s="37" t="s">
        <v>32</v>
      </c>
      <c r="C14" s="38" t="s">
        <v>32</v>
      </c>
      <c r="D14" s="38" t="s">
        <v>33</v>
      </c>
      <c r="E14" s="38" t="s">
        <v>34</v>
      </c>
      <c r="F14" s="38" t="s">
        <v>0</v>
      </c>
      <c r="G14" s="38"/>
      <c r="H14" s="38" t="s">
        <v>0</v>
      </c>
      <c r="I14" s="225"/>
      <c r="J14" s="226"/>
      <c r="K14" s="25" t="s">
        <v>35</v>
      </c>
      <c r="L14" s="21" t="s">
        <v>36</v>
      </c>
      <c r="M14" s="21" t="s">
        <v>37</v>
      </c>
      <c r="N14" s="21" t="s">
        <v>38</v>
      </c>
      <c r="O14" s="21" t="s">
        <v>39</v>
      </c>
      <c r="P14" s="20" t="s">
        <v>40</v>
      </c>
      <c r="Q14" s="35" t="s">
        <v>41</v>
      </c>
      <c r="R14" s="49" t="s">
        <v>42</v>
      </c>
      <c r="S14" s="23" t="s">
        <v>43</v>
      </c>
      <c r="T14" s="26" t="s">
        <v>44</v>
      </c>
      <c r="U14" s="53"/>
      <c r="V14" s="53"/>
      <c r="W14" s="53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</row>
    <row r="15" spans="1:74" ht="12" thickBot="1">
      <c r="A15" s="27" t="s">
        <v>45</v>
      </c>
      <c r="B15" s="39" t="s">
        <v>46</v>
      </c>
      <c r="C15" s="40" t="s">
        <v>47</v>
      </c>
      <c r="D15" s="40" t="s">
        <v>48</v>
      </c>
      <c r="E15" s="40" t="s">
        <v>49</v>
      </c>
      <c r="F15" s="40" t="s">
        <v>50</v>
      </c>
      <c r="G15" s="40" t="s">
        <v>51</v>
      </c>
      <c r="H15" s="40" t="s">
        <v>52</v>
      </c>
      <c r="I15" s="41" t="s">
        <v>53</v>
      </c>
      <c r="J15" s="58" t="s">
        <v>54</v>
      </c>
      <c r="K15" s="31" t="s">
        <v>55</v>
      </c>
      <c r="L15" s="72" t="s">
        <v>56</v>
      </c>
      <c r="M15" s="28" t="s">
        <v>57</v>
      </c>
      <c r="N15" s="28" t="s">
        <v>58</v>
      </c>
      <c r="O15" s="28" t="s">
        <v>59</v>
      </c>
      <c r="P15" s="30" t="s">
        <v>60</v>
      </c>
      <c r="Q15" s="44" t="s">
        <v>61</v>
      </c>
      <c r="R15" s="50" t="s">
        <v>61</v>
      </c>
      <c r="S15" s="31" t="s">
        <v>62</v>
      </c>
      <c r="T15" s="28" t="s">
        <v>63</v>
      </c>
      <c r="U15" s="53"/>
      <c r="V15" s="53"/>
      <c r="W15" s="53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</row>
    <row r="16" spans="1:74" ht="22.5" thickTop="1">
      <c r="A16" s="6">
        <v>1</v>
      </c>
      <c r="B16" s="69">
        <v>6290</v>
      </c>
      <c r="C16" s="137" t="s">
        <v>78</v>
      </c>
      <c r="D16" s="220" t="s">
        <v>177</v>
      </c>
      <c r="E16" s="179" t="s">
        <v>132</v>
      </c>
      <c r="F16" s="195">
        <f>ROUND((45262*0.25),0)</f>
        <v>11316</v>
      </c>
      <c r="G16" s="194">
        <v>0</v>
      </c>
      <c r="H16" s="189">
        <v>0</v>
      </c>
      <c r="I16" s="78">
        <v>46070</v>
      </c>
      <c r="J16" s="189">
        <v>0</v>
      </c>
      <c r="K16" s="29">
        <f>(+F16+G16+H16+J16)</f>
        <v>11316</v>
      </c>
      <c r="L16" s="64">
        <f>+ROUND((K16*0.3077),0)</f>
        <v>3482</v>
      </c>
      <c r="M16" s="29">
        <f>ROUND((495*0.25),0)</f>
        <v>124</v>
      </c>
      <c r="N16" s="16">
        <v>0</v>
      </c>
      <c r="O16" s="16">
        <f t="shared" ref="O16:O19" si="0">ROUND((K16*0.0145),0)</f>
        <v>164</v>
      </c>
      <c r="P16" s="16">
        <f>ROUND((187*0.25),0)</f>
        <v>47</v>
      </c>
      <c r="Q16" s="154">
        <v>0</v>
      </c>
      <c r="R16" s="154">
        <v>0</v>
      </c>
      <c r="S16" s="16">
        <f t="shared" ref="S16:S19" si="1">+L16+M16+N16+O16+P16+Q16+R16</f>
        <v>3817</v>
      </c>
      <c r="T16" s="16">
        <f>+K16+S16</f>
        <v>15133</v>
      </c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</row>
    <row r="17" spans="1:74" ht="10.5" customHeight="1">
      <c r="A17" s="6">
        <f t="shared" ref="A17:A40" si="2">A16+1</f>
        <v>2</v>
      </c>
      <c r="B17" s="69">
        <v>7030</v>
      </c>
      <c r="C17" s="137" t="s">
        <v>78</v>
      </c>
      <c r="D17" s="221" t="s">
        <v>178</v>
      </c>
      <c r="E17" s="179" t="s">
        <v>132</v>
      </c>
      <c r="F17" s="190">
        <f>ROUND((45262*0.25),0)</f>
        <v>11316</v>
      </c>
      <c r="G17" s="114">
        <v>0</v>
      </c>
      <c r="H17" s="177">
        <v>0</v>
      </c>
      <c r="I17" s="78">
        <v>46063</v>
      </c>
      <c r="J17" s="177">
        <v>0</v>
      </c>
      <c r="K17" s="160">
        <f>(+F17+G17+H17+J17)</f>
        <v>11316</v>
      </c>
      <c r="L17" s="160">
        <f t="shared" ref="L17:L19" si="3">+ROUND((K17*0.3077),0)</f>
        <v>3482</v>
      </c>
      <c r="M17" s="161">
        <f>ROUND((495*0.84),0)</f>
        <v>416</v>
      </c>
      <c r="N17" s="160">
        <v>0</v>
      </c>
      <c r="O17" s="160">
        <f t="shared" si="0"/>
        <v>164</v>
      </c>
      <c r="P17" s="160">
        <f>ROUND((187*0.25),0)</f>
        <v>47</v>
      </c>
      <c r="Q17" s="162">
        <f>ROUND((6117*0.25),0)</f>
        <v>1529</v>
      </c>
      <c r="R17" s="162">
        <f>ROUND((298*0.25),0)</f>
        <v>75</v>
      </c>
      <c r="S17" s="160">
        <f>+L17+M17+N17+O17+P17+Q17+R17</f>
        <v>5713</v>
      </c>
      <c r="T17" s="160">
        <f t="shared" ref="T17:T19" si="4">+K17+S17</f>
        <v>17029</v>
      </c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</row>
    <row r="18" spans="1:74" ht="12.75" customHeight="1">
      <c r="A18" s="6">
        <f t="shared" si="2"/>
        <v>3</v>
      </c>
      <c r="B18" s="136">
        <v>6409</v>
      </c>
      <c r="C18" s="137" t="s">
        <v>78</v>
      </c>
      <c r="D18" s="222" t="s">
        <v>179</v>
      </c>
      <c r="E18" s="139" t="s">
        <v>137</v>
      </c>
      <c r="F18" s="190">
        <f>ROUND((46978*0.25),0)</f>
        <v>11745</v>
      </c>
      <c r="G18" s="114">
        <v>0</v>
      </c>
      <c r="H18" s="177">
        <v>0</v>
      </c>
      <c r="I18" s="151">
        <v>45693</v>
      </c>
      <c r="J18" s="177">
        <f>ROUND((1187*0.25),0)</f>
        <v>297</v>
      </c>
      <c r="K18" s="160">
        <f t="shared" ref="K18:K19" si="5">(+F18+G18+H18+J18)</f>
        <v>12042</v>
      </c>
      <c r="L18" s="160">
        <f t="shared" si="3"/>
        <v>3705</v>
      </c>
      <c r="M18" s="161">
        <f t="shared" ref="M18:M19" si="6">ROUND((495*0.84),0)</f>
        <v>416</v>
      </c>
      <c r="N18" s="160">
        <v>0</v>
      </c>
      <c r="O18" s="160">
        <f t="shared" si="0"/>
        <v>175</v>
      </c>
      <c r="P18" s="160">
        <f t="shared" ref="P18:P19" si="7">ROUND((187*0.25),0)</f>
        <v>47</v>
      </c>
      <c r="Q18" s="162">
        <f>ROUND((3994*0.25),0)</f>
        <v>999</v>
      </c>
      <c r="R18" s="162">
        <v>0</v>
      </c>
      <c r="S18" s="160">
        <f t="shared" si="1"/>
        <v>5342</v>
      </c>
      <c r="T18" s="160">
        <f t="shared" si="4"/>
        <v>17384</v>
      </c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</row>
    <row r="19" spans="1:74">
      <c r="A19" s="6">
        <f t="shared" si="2"/>
        <v>4</v>
      </c>
      <c r="B19" s="196">
        <v>6165</v>
      </c>
      <c r="C19" s="137" t="s">
        <v>78</v>
      </c>
      <c r="D19" s="218" t="s">
        <v>180</v>
      </c>
      <c r="E19" s="179" t="s">
        <v>132</v>
      </c>
      <c r="F19" s="181">
        <f>ROUND((45262*0.25),0)</f>
        <v>11316</v>
      </c>
      <c r="G19" s="114">
        <v>0</v>
      </c>
      <c r="H19" s="177">
        <v>0</v>
      </c>
      <c r="I19" s="151">
        <v>45910</v>
      </c>
      <c r="J19" s="177">
        <f>+ROUND((143*0.25),0)</f>
        <v>36</v>
      </c>
      <c r="K19" s="160">
        <f t="shared" si="5"/>
        <v>11352</v>
      </c>
      <c r="L19" s="160">
        <f t="shared" si="3"/>
        <v>3493</v>
      </c>
      <c r="M19" s="161">
        <f t="shared" si="6"/>
        <v>416</v>
      </c>
      <c r="N19" s="160">
        <v>0</v>
      </c>
      <c r="O19" s="160">
        <f t="shared" si="0"/>
        <v>165</v>
      </c>
      <c r="P19" s="160">
        <f t="shared" si="7"/>
        <v>47</v>
      </c>
      <c r="Q19" s="162">
        <f>ROUND((3994*0.25),0)</f>
        <v>999</v>
      </c>
      <c r="R19" s="162">
        <f>ROUND((298*0.25),0)</f>
        <v>75</v>
      </c>
      <c r="S19" s="160">
        <f t="shared" si="1"/>
        <v>5195</v>
      </c>
      <c r="T19" s="160">
        <f t="shared" si="4"/>
        <v>16547</v>
      </c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</row>
    <row r="20" spans="1:74" ht="12.75" customHeight="1">
      <c r="A20" s="6">
        <f t="shared" si="2"/>
        <v>5</v>
      </c>
      <c r="B20" s="128"/>
      <c r="C20" s="133"/>
      <c r="D20" s="134"/>
      <c r="E20" s="130"/>
      <c r="F20" s="135"/>
      <c r="G20" s="7"/>
      <c r="H20" s="146"/>
      <c r="I20" s="148"/>
      <c r="J20" s="146"/>
      <c r="K20" s="15"/>
      <c r="L20" s="15"/>
      <c r="M20" s="29"/>
      <c r="N20" s="15"/>
      <c r="O20" s="15"/>
      <c r="P20" s="16"/>
      <c r="Q20" s="149"/>
      <c r="R20" s="149"/>
      <c r="S20" s="15"/>
      <c r="T20" s="15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</row>
    <row r="21" spans="1:74">
      <c r="A21" s="6">
        <f t="shared" si="2"/>
        <v>6</v>
      </c>
      <c r="B21" s="136"/>
      <c r="C21" s="137"/>
      <c r="D21" s="138"/>
      <c r="E21" s="139"/>
      <c r="F21" s="140"/>
      <c r="G21" s="7"/>
      <c r="H21" s="146"/>
      <c r="I21" s="147"/>
      <c r="J21" s="146"/>
      <c r="K21" s="15"/>
      <c r="L21" s="15"/>
      <c r="M21" s="29"/>
      <c r="N21" s="15"/>
      <c r="O21" s="15"/>
      <c r="P21" s="16"/>
      <c r="Q21" s="149"/>
      <c r="R21" s="149"/>
      <c r="S21" s="15"/>
      <c r="T21" s="15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</row>
    <row r="22" spans="1:74">
      <c r="A22" s="6">
        <f t="shared" si="2"/>
        <v>7</v>
      </c>
      <c r="B22" s="141"/>
      <c r="C22" s="133"/>
      <c r="D22" s="134"/>
      <c r="E22" s="130"/>
      <c r="F22" s="135"/>
      <c r="G22" s="73"/>
      <c r="H22" s="146"/>
      <c r="I22" s="148"/>
      <c r="J22" s="146"/>
      <c r="K22" s="74"/>
      <c r="L22" s="15"/>
      <c r="M22" s="29"/>
      <c r="N22" s="74"/>
      <c r="O22" s="74"/>
      <c r="P22" s="16"/>
      <c r="Q22" s="149"/>
      <c r="R22" s="149"/>
      <c r="S22" s="74"/>
      <c r="T22" s="74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</row>
    <row r="23" spans="1:74">
      <c r="A23" s="6">
        <f t="shared" si="2"/>
        <v>8</v>
      </c>
      <c r="B23" s="124"/>
      <c r="C23" s="133"/>
      <c r="D23" s="134"/>
      <c r="E23" s="130"/>
      <c r="F23" s="131"/>
      <c r="G23" s="73"/>
      <c r="H23" s="146"/>
      <c r="I23" s="148"/>
      <c r="J23" s="146"/>
      <c r="K23" s="74"/>
      <c r="L23" s="15"/>
      <c r="M23" s="29"/>
      <c r="N23" s="74"/>
      <c r="O23" s="74"/>
      <c r="P23" s="16"/>
      <c r="Q23" s="149"/>
      <c r="R23" s="149"/>
      <c r="S23" s="74"/>
      <c r="T23" s="74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</row>
    <row r="24" spans="1:74">
      <c r="A24" s="6">
        <f t="shared" si="2"/>
        <v>9</v>
      </c>
      <c r="B24" s="128"/>
      <c r="C24" s="116"/>
      <c r="D24" s="129"/>
      <c r="E24" s="130"/>
      <c r="F24" s="131"/>
      <c r="G24" s="73"/>
      <c r="H24" s="146"/>
      <c r="I24" s="148"/>
      <c r="J24" s="146"/>
      <c r="K24" s="74"/>
      <c r="L24" s="15"/>
      <c r="M24" s="29"/>
      <c r="N24" s="74"/>
      <c r="O24" s="74"/>
      <c r="P24" s="16"/>
      <c r="Q24" s="149"/>
      <c r="R24" s="149"/>
      <c r="S24" s="74"/>
      <c r="T24" s="74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</row>
    <row r="25" spans="1:74">
      <c r="A25" s="6">
        <f t="shared" si="2"/>
        <v>10</v>
      </c>
      <c r="B25" s="142"/>
      <c r="C25" s="133"/>
      <c r="D25" s="129"/>
      <c r="E25" s="130"/>
      <c r="F25" s="143"/>
      <c r="G25" s="7"/>
      <c r="H25" s="146"/>
      <c r="I25" s="148"/>
      <c r="J25" s="146"/>
      <c r="K25" s="15"/>
      <c r="L25" s="15"/>
      <c r="M25" s="29"/>
      <c r="N25" s="15"/>
      <c r="O25" s="15"/>
      <c r="P25" s="16"/>
      <c r="Q25" s="149"/>
      <c r="R25" s="149"/>
      <c r="S25" s="15"/>
      <c r="T25" s="15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</row>
    <row r="26" spans="1:74">
      <c r="A26" s="6">
        <f t="shared" si="2"/>
        <v>11</v>
      </c>
      <c r="B26" s="144"/>
      <c r="C26" s="116"/>
      <c r="D26" s="116"/>
      <c r="E26" s="125"/>
      <c r="F26" s="126"/>
      <c r="G26" s="7"/>
      <c r="H26" s="146"/>
      <c r="I26" s="147"/>
      <c r="J26" s="146"/>
      <c r="K26" s="15"/>
      <c r="L26" s="15"/>
      <c r="M26" s="29"/>
      <c r="N26" s="15"/>
      <c r="O26" s="15"/>
      <c r="P26" s="16"/>
      <c r="Q26" s="149"/>
      <c r="R26" s="149"/>
      <c r="S26" s="15"/>
      <c r="T26" s="15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</row>
    <row r="27" spans="1:74">
      <c r="A27" s="6">
        <f t="shared" si="2"/>
        <v>12</v>
      </c>
      <c r="B27" s="128"/>
      <c r="C27" s="116"/>
      <c r="D27" s="145"/>
      <c r="E27" s="125"/>
      <c r="F27" s="132"/>
      <c r="G27" s="7"/>
      <c r="H27" s="146"/>
      <c r="I27" s="147"/>
      <c r="J27" s="146"/>
      <c r="K27" s="15"/>
      <c r="L27" s="15"/>
      <c r="M27" s="29"/>
      <c r="N27" s="15"/>
      <c r="O27" s="15"/>
      <c r="P27" s="16"/>
      <c r="Q27" s="149"/>
      <c r="R27" s="149"/>
      <c r="S27" s="15"/>
      <c r="T27" s="15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</row>
    <row r="28" spans="1:74">
      <c r="A28" s="6">
        <f t="shared" si="2"/>
        <v>13</v>
      </c>
      <c r="B28" s="69"/>
      <c r="C28" s="68"/>
      <c r="D28" s="70"/>
      <c r="E28" s="70"/>
      <c r="F28" s="7"/>
      <c r="G28" s="7"/>
      <c r="H28" s="66"/>
      <c r="I28" s="78"/>
      <c r="J28" s="79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</row>
    <row r="29" spans="1:74">
      <c r="A29" s="6">
        <f t="shared" si="2"/>
        <v>14</v>
      </c>
      <c r="B29" s="69"/>
      <c r="C29" s="77"/>
      <c r="D29" s="76"/>
      <c r="E29" s="75"/>
      <c r="F29" s="7"/>
      <c r="G29" s="73"/>
      <c r="H29" s="66"/>
      <c r="I29" s="80"/>
      <c r="J29" s="81"/>
      <c r="K29" s="74"/>
      <c r="L29" s="15"/>
      <c r="M29" s="82"/>
      <c r="N29" s="74"/>
      <c r="O29" s="74"/>
      <c r="P29" s="74"/>
      <c r="Q29" s="83"/>
      <c r="R29" s="83"/>
      <c r="S29" s="74"/>
      <c r="T29" s="74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</row>
    <row r="30" spans="1:74">
      <c r="A30" s="6">
        <f t="shared" si="2"/>
        <v>15</v>
      </c>
      <c r="B30" s="6"/>
      <c r="C30" s="52"/>
      <c r="D30" s="52"/>
      <c r="E30" s="52"/>
      <c r="F30" s="7"/>
      <c r="G30" s="7"/>
      <c r="H30" s="66"/>
      <c r="I30" s="78"/>
      <c r="J30" s="79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</row>
    <row r="31" spans="1:74">
      <c r="A31" s="6">
        <f t="shared" si="2"/>
        <v>16</v>
      </c>
      <c r="B31" s="6"/>
      <c r="C31" s="52"/>
      <c r="D31" s="52"/>
      <c r="E31" s="52"/>
      <c r="F31" s="7"/>
      <c r="G31" s="7"/>
      <c r="H31" s="66"/>
      <c r="I31" s="8"/>
      <c r="J31" s="33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</row>
    <row r="32" spans="1:74">
      <c r="A32" s="6">
        <f t="shared" si="2"/>
        <v>17</v>
      </c>
      <c r="B32" s="6"/>
      <c r="C32" s="52"/>
      <c r="D32" s="52"/>
      <c r="E32" s="52"/>
      <c r="F32" s="7"/>
      <c r="G32" s="7"/>
      <c r="H32" s="66"/>
      <c r="I32" s="8"/>
      <c r="J32" s="33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</row>
    <row r="33" spans="1:74">
      <c r="A33" s="6">
        <f t="shared" si="2"/>
        <v>18</v>
      </c>
      <c r="B33" s="6"/>
      <c r="C33" s="52"/>
      <c r="D33" s="52"/>
      <c r="E33" s="52"/>
      <c r="F33" s="7"/>
      <c r="G33" s="7"/>
      <c r="H33" s="66"/>
      <c r="I33" s="8"/>
      <c r="J33" s="33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</row>
    <row r="34" spans="1:74">
      <c r="A34" s="6">
        <f t="shared" si="2"/>
        <v>19</v>
      </c>
      <c r="B34" s="6"/>
      <c r="C34" s="52"/>
      <c r="D34" s="52"/>
      <c r="E34" s="52"/>
      <c r="F34" s="7"/>
      <c r="G34" s="73"/>
      <c r="H34" s="66"/>
      <c r="I34" s="8"/>
      <c r="J34" s="33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</row>
    <row r="35" spans="1:74">
      <c r="A35" s="6">
        <f t="shared" si="2"/>
        <v>20</v>
      </c>
      <c r="B35" s="6"/>
      <c r="C35" s="52"/>
      <c r="D35" s="52"/>
      <c r="E35" s="52"/>
      <c r="F35" s="7"/>
      <c r="G35" s="7"/>
      <c r="H35" s="66"/>
      <c r="I35" s="8"/>
      <c r="J35" s="33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</row>
    <row r="36" spans="1:74">
      <c r="A36" s="6">
        <f t="shared" si="2"/>
        <v>21</v>
      </c>
      <c r="B36" s="6"/>
      <c r="C36" s="52"/>
      <c r="D36" s="52"/>
      <c r="E36" s="52"/>
      <c r="F36" s="7"/>
      <c r="G36" s="7"/>
      <c r="H36" s="66"/>
      <c r="I36" s="8"/>
      <c r="J36" s="33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</row>
    <row r="37" spans="1:74">
      <c r="A37" s="6">
        <f t="shared" si="2"/>
        <v>22</v>
      </c>
      <c r="B37" s="6"/>
      <c r="C37" s="52"/>
      <c r="D37" s="52"/>
      <c r="E37" s="52"/>
      <c r="F37" s="7"/>
      <c r="G37" s="7"/>
      <c r="H37" s="66"/>
      <c r="I37" s="8"/>
      <c r="J37" s="33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</row>
    <row r="38" spans="1:74">
      <c r="A38" s="6">
        <f t="shared" si="2"/>
        <v>23</v>
      </c>
      <c r="B38" s="6"/>
      <c r="C38" s="52"/>
      <c r="D38" s="52"/>
      <c r="E38" s="52"/>
      <c r="F38" s="7"/>
      <c r="G38" s="7"/>
      <c r="H38" s="66"/>
      <c r="I38" s="8"/>
      <c r="J38" s="33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</row>
    <row r="39" spans="1:74">
      <c r="A39" s="6">
        <f t="shared" si="2"/>
        <v>24</v>
      </c>
      <c r="B39" s="6"/>
      <c r="C39" s="52"/>
      <c r="D39" s="52"/>
      <c r="E39" s="52"/>
      <c r="F39" s="7"/>
      <c r="G39" s="73"/>
      <c r="H39" s="66"/>
      <c r="I39" s="8"/>
      <c r="J39" s="33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</row>
    <row r="40" spans="1:74">
      <c r="A40" s="6">
        <f t="shared" si="2"/>
        <v>25</v>
      </c>
      <c r="B40" s="6"/>
      <c r="C40" s="52"/>
      <c r="D40" s="52"/>
      <c r="E40" s="52"/>
      <c r="F40" s="7"/>
      <c r="G40" s="7"/>
      <c r="H40" s="66"/>
      <c r="I40" s="8"/>
      <c r="J40" s="33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</row>
    <row r="41" spans="1:74">
      <c r="A41" s="14"/>
      <c r="B41" s="14"/>
      <c r="C41" s="14"/>
      <c r="D41" s="11" t="s">
        <v>90</v>
      </c>
      <c r="E41" s="13" t="s">
        <v>91</v>
      </c>
      <c r="F41" s="10">
        <f>SUM(F16:F40)</f>
        <v>45693</v>
      </c>
      <c r="G41" s="10">
        <f t="shared" ref="G41:H41" si="8">SUM(G16:G40)</f>
        <v>0</v>
      </c>
      <c r="H41" s="10">
        <f t="shared" si="8"/>
        <v>0</v>
      </c>
      <c r="I41" s="12" t="s">
        <v>91</v>
      </c>
      <c r="J41" s="10">
        <f>SUM(J16:J40)</f>
        <v>333</v>
      </c>
      <c r="K41" s="10">
        <f t="shared" ref="K41:T41" si="9">SUM(K16:K40)</f>
        <v>46026</v>
      </c>
      <c r="L41" s="10">
        <f t="shared" si="9"/>
        <v>14162</v>
      </c>
      <c r="M41" s="10">
        <f t="shared" si="9"/>
        <v>1372</v>
      </c>
      <c r="N41" s="10">
        <f t="shared" si="9"/>
        <v>0</v>
      </c>
      <c r="O41" s="10">
        <f t="shared" si="9"/>
        <v>668</v>
      </c>
      <c r="P41" s="10">
        <f t="shared" si="9"/>
        <v>188</v>
      </c>
      <c r="Q41" s="10">
        <f t="shared" si="9"/>
        <v>3527</v>
      </c>
      <c r="R41" s="10">
        <f t="shared" si="9"/>
        <v>150</v>
      </c>
      <c r="S41" s="10">
        <f t="shared" si="9"/>
        <v>20067</v>
      </c>
      <c r="T41" s="10">
        <f t="shared" si="9"/>
        <v>66093</v>
      </c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</row>
    <row r="42" spans="1:74" ht="12" customHeight="1">
      <c r="A42" s="17" t="s">
        <v>92</v>
      </c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</row>
    <row r="43" spans="1:74" ht="12.75">
      <c r="A43" s="17" t="s">
        <v>93</v>
      </c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</row>
    <row r="44" spans="1:74" ht="12.75">
      <c r="A44" s="71" t="s">
        <v>94</v>
      </c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</row>
    <row r="45" spans="1:74" ht="12.75">
      <c r="A45" s="71" t="s">
        <v>95</v>
      </c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</row>
    <row r="46" spans="1:74" ht="12.75">
      <c r="A46" s="71" t="s">
        <v>96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</row>
    <row r="47" spans="1:74" ht="12" thickBo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</row>
    <row r="48" spans="1:74" ht="12.75" thickTop="1" thickBot="1">
      <c r="A48" s="3"/>
      <c r="B48" s="84" t="s">
        <v>10</v>
      </c>
      <c r="C48" s="85"/>
      <c r="D48" s="85"/>
      <c r="E48" s="85"/>
      <c r="F48" s="85"/>
      <c r="G48" s="85"/>
      <c r="H48" s="85"/>
      <c r="I48" s="85"/>
      <c r="J48" s="86"/>
      <c r="K48" s="87"/>
      <c r="L48" s="88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</row>
    <row r="49" spans="1:66">
      <c r="A49" s="3"/>
      <c r="B49" s="89" t="s">
        <v>97</v>
      </c>
      <c r="C49" s="90"/>
      <c r="D49" s="90"/>
      <c r="E49" s="90"/>
      <c r="F49" s="90"/>
      <c r="G49" s="90"/>
      <c r="H49" s="90"/>
      <c r="I49" s="90"/>
      <c r="J49" s="90"/>
      <c r="K49" s="90"/>
      <c r="L49" s="9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</row>
    <row r="50" spans="1:66">
      <c r="A50" s="3"/>
      <c r="B50" s="92" t="s">
        <v>11</v>
      </c>
      <c r="C50" s="4" t="s">
        <v>12</v>
      </c>
      <c r="D50" s="4" t="s">
        <v>13</v>
      </c>
      <c r="E50" s="4" t="s">
        <v>14</v>
      </c>
      <c r="F50" s="4" t="s">
        <v>15</v>
      </c>
      <c r="G50" s="4" t="s">
        <v>16</v>
      </c>
      <c r="H50" s="4" t="s">
        <v>17</v>
      </c>
      <c r="I50" s="4" t="s">
        <v>18</v>
      </c>
      <c r="J50" s="4" t="s">
        <v>19</v>
      </c>
      <c r="K50" s="4" t="s">
        <v>20</v>
      </c>
      <c r="L50" s="93" t="s">
        <v>21</v>
      </c>
      <c r="M50" s="18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</row>
    <row r="51" spans="1:66">
      <c r="A51" s="3"/>
      <c r="B51" s="92"/>
      <c r="C51" s="45"/>
      <c r="D51" s="4"/>
      <c r="E51" s="45"/>
      <c r="F51" s="11" t="s">
        <v>98</v>
      </c>
      <c r="G51" s="63" t="s">
        <v>99</v>
      </c>
      <c r="H51" s="155" t="s">
        <v>100</v>
      </c>
      <c r="I51" s="155" t="s">
        <v>60</v>
      </c>
      <c r="J51" s="155" t="s">
        <v>101</v>
      </c>
      <c r="K51" s="155" t="s">
        <v>102</v>
      </c>
      <c r="L51" s="94"/>
      <c r="M51" s="18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</row>
    <row r="52" spans="1:66" ht="21.75">
      <c r="A52" s="20"/>
      <c r="B52" s="95" t="s">
        <v>0</v>
      </c>
      <c r="C52" s="54"/>
      <c r="D52" s="36" t="s">
        <v>0</v>
      </c>
      <c r="E52" s="36" t="s">
        <v>103</v>
      </c>
      <c r="F52" s="60" t="s">
        <v>104</v>
      </c>
      <c r="G52" s="38"/>
      <c r="H52" s="38" t="s">
        <v>0</v>
      </c>
      <c r="I52" s="61" t="s">
        <v>105</v>
      </c>
      <c r="J52" s="38" t="s">
        <v>106</v>
      </c>
      <c r="K52" s="38" t="s">
        <v>107</v>
      </c>
      <c r="L52" s="96" t="s">
        <v>0</v>
      </c>
      <c r="M52" s="53"/>
      <c r="N52" s="197"/>
      <c r="O52" s="53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</row>
    <row r="53" spans="1:66" ht="15.75">
      <c r="A53" s="24"/>
      <c r="B53" s="97" t="s">
        <v>32</v>
      </c>
      <c r="C53" s="38" t="s">
        <v>32</v>
      </c>
      <c r="D53" s="38" t="s">
        <v>33</v>
      </c>
      <c r="E53" s="38" t="s">
        <v>108</v>
      </c>
      <c r="F53" s="38" t="s">
        <v>108</v>
      </c>
      <c r="G53" s="38" t="s">
        <v>109</v>
      </c>
      <c r="H53" s="38" t="s">
        <v>109</v>
      </c>
      <c r="I53" s="38" t="s">
        <v>108</v>
      </c>
      <c r="J53" s="38" t="s">
        <v>108</v>
      </c>
      <c r="K53" s="38" t="s">
        <v>108</v>
      </c>
      <c r="L53" s="98" t="s">
        <v>110</v>
      </c>
      <c r="M53" s="53"/>
      <c r="N53" s="197"/>
      <c r="O53" s="53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</row>
    <row r="54" spans="1:66" ht="16.5" thickBot="1">
      <c r="A54" s="27" t="s">
        <v>45</v>
      </c>
      <c r="B54" s="99" t="s">
        <v>46</v>
      </c>
      <c r="C54" s="100" t="s">
        <v>111</v>
      </c>
      <c r="D54" s="100" t="s">
        <v>48</v>
      </c>
      <c r="E54" s="100"/>
      <c r="F54" s="101" t="s">
        <v>112</v>
      </c>
      <c r="G54" s="101" t="s">
        <v>112</v>
      </c>
      <c r="H54" s="101" t="s">
        <v>113</v>
      </c>
      <c r="I54" s="101" t="s">
        <v>114</v>
      </c>
      <c r="J54" s="101" t="s">
        <v>114</v>
      </c>
      <c r="K54" s="101" t="s">
        <v>115</v>
      </c>
      <c r="L54" s="102" t="s">
        <v>55</v>
      </c>
      <c r="M54" s="53"/>
      <c r="N54" s="197"/>
      <c r="O54" s="53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</row>
    <row r="55" spans="1:66" ht="21.75">
      <c r="A55" s="6">
        <v>1</v>
      </c>
      <c r="B55" s="51">
        <f t="shared" ref="B55:D55" si="10">+B16</f>
        <v>6290</v>
      </c>
      <c r="C55" s="51" t="str">
        <f t="shared" si="10"/>
        <v>Env. Public Health Officer I</v>
      </c>
      <c r="D55" s="165" t="str">
        <f t="shared" si="10"/>
        <v>Siliang, Raymond (25%) (02/17/25)</v>
      </c>
      <c r="E55" s="161">
        <v>0</v>
      </c>
      <c r="F55" s="161">
        <v>0</v>
      </c>
      <c r="G55" s="161">
        <v>0</v>
      </c>
      <c r="H55" s="161">
        <v>0</v>
      </c>
      <c r="I55" s="161">
        <v>0</v>
      </c>
      <c r="J55" s="161">
        <v>0</v>
      </c>
      <c r="K55" s="161">
        <v>0</v>
      </c>
      <c r="L55" s="166">
        <f>+E55+F55+G55+H55+I55+J55+K55</f>
        <v>0</v>
      </c>
      <c r="M55" s="1"/>
      <c r="N55" s="197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</row>
    <row r="56" spans="1:66" ht="15.75">
      <c r="A56" s="6">
        <f t="shared" ref="A56:A79" si="11">A55+1</f>
        <v>2</v>
      </c>
      <c r="B56" s="51">
        <f t="shared" ref="B56:D56" si="12">+B17</f>
        <v>7030</v>
      </c>
      <c r="C56" s="51" t="str">
        <f t="shared" si="12"/>
        <v>Env. Public Health Officer I</v>
      </c>
      <c r="D56" s="165" t="str">
        <f t="shared" si="12"/>
        <v>Cruz, Bailey (25%) (02/10/25)</v>
      </c>
      <c r="E56" s="161">
        <v>0</v>
      </c>
      <c r="F56" s="161">
        <v>0</v>
      </c>
      <c r="G56" s="161">
        <v>0</v>
      </c>
      <c r="H56" s="161">
        <v>0</v>
      </c>
      <c r="I56" s="161">
        <v>0</v>
      </c>
      <c r="J56" s="161">
        <v>0</v>
      </c>
      <c r="K56" s="161">
        <v>0</v>
      </c>
      <c r="L56" s="166">
        <f t="shared" ref="L56:L58" si="13">+E56+F56+G56+H56+I56+J56+K56</f>
        <v>0</v>
      </c>
      <c r="M56" s="1"/>
      <c r="N56" s="197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</row>
    <row r="57" spans="1:66" ht="15.75">
      <c r="A57" s="6">
        <f t="shared" si="11"/>
        <v>3</v>
      </c>
      <c r="B57" s="51">
        <f t="shared" ref="B57:D57" si="14">+B18</f>
        <v>6409</v>
      </c>
      <c r="C57" s="51" t="str">
        <f t="shared" si="14"/>
        <v>Env. Public Health Officer I</v>
      </c>
      <c r="D57" s="165" t="str">
        <f t="shared" si="14"/>
        <v>Eata, Ervin R. (25%) (02/05/2024)</v>
      </c>
      <c r="E57" s="161">
        <v>0</v>
      </c>
      <c r="F57" s="161">
        <v>0</v>
      </c>
      <c r="G57" s="161">
        <v>0</v>
      </c>
      <c r="H57" s="161">
        <v>0</v>
      </c>
      <c r="I57" s="161">
        <v>0</v>
      </c>
      <c r="J57" s="161">
        <v>0</v>
      </c>
      <c r="K57" s="161">
        <v>0</v>
      </c>
      <c r="L57" s="166">
        <f t="shared" si="13"/>
        <v>0</v>
      </c>
      <c r="M57" s="1"/>
      <c r="N57" s="197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</row>
    <row r="58" spans="1:66" ht="15.75">
      <c r="A58" s="6">
        <f t="shared" si="11"/>
        <v>4</v>
      </c>
      <c r="B58" s="51">
        <f t="shared" ref="B58:D58" si="15">+B19</f>
        <v>6165</v>
      </c>
      <c r="C58" s="51" t="str">
        <f t="shared" si="15"/>
        <v>Env. Public Health Officer I</v>
      </c>
      <c r="D58" s="165" t="str">
        <f t="shared" si="15"/>
        <v>Aninzo, Carl (25%) (09/10/2024)</v>
      </c>
      <c r="E58" s="161">
        <v>0</v>
      </c>
      <c r="F58" s="161">
        <v>0</v>
      </c>
      <c r="G58" s="161">
        <v>0</v>
      </c>
      <c r="H58" s="161">
        <v>0</v>
      </c>
      <c r="I58" s="161">
        <v>0</v>
      </c>
      <c r="J58" s="161">
        <v>0</v>
      </c>
      <c r="K58" s="161">
        <v>0</v>
      </c>
      <c r="L58" s="166">
        <f t="shared" si="13"/>
        <v>0</v>
      </c>
      <c r="M58" s="1"/>
      <c r="N58" s="197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</row>
    <row r="59" spans="1:66">
      <c r="A59" s="6">
        <f t="shared" si="11"/>
        <v>5</v>
      </c>
      <c r="B59" s="51"/>
      <c r="C59" s="51"/>
      <c r="D59" s="165"/>
      <c r="E59" s="161"/>
      <c r="F59" s="161"/>
      <c r="G59" s="161"/>
      <c r="H59" s="161"/>
      <c r="I59" s="161"/>
      <c r="J59" s="161"/>
      <c r="K59" s="161"/>
      <c r="L59" s="166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</row>
    <row r="60" spans="1:66">
      <c r="A60" s="6">
        <f t="shared" si="11"/>
        <v>6</v>
      </c>
      <c r="B60" s="51"/>
      <c r="C60" s="51"/>
      <c r="D60" s="165"/>
      <c r="E60" s="161"/>
      <c r="F60" s="161"/>
      <c r="G60" s="161"/>
      <c r="H60" s="161"/>
      <c r="I60" s="161"/>
      <c r="J60" s="161"/>
      <c r="K60" s="161"/>
      <c r="L60" s="166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</row>
    <row r="61" spans="1:66">
      <c r="A61" s="6">
        <f t="shared" si="11"/>
        <v>7</v>
      </c>
      <c r="B61" s="51"/>
      <c r="C61" s="51"/>
      <c r="D61" s="51"/>
      <c r="E61" s="7"/>
      <c r="F61" s="7"/>
      <c r="G61" s="7"/>
      <c r="H61" s="7"/>
      <c r="I61" s="7"/>
      <c r="J61" s="33"/>
      <c r="K61" s="33"/>
      <c r="L61" s="15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</row>
    <row r="62" spans="1:66">
      <c r="A62" s="6">
        <f t="shared" si="11"/>
        <v>8</v>
      </c>
      <c r="B62" s="51"/>
      <c r="C62" s="51"/>
      <c r="D62" s="51"/>
      <c r="E62" s="7"/>
      <c r="F62" s="7"/>
      <c r="G62" s="7"/>
      <c r="H62" s="7"/>
      <c r="I62" s="7"/>
      <c r="J62" s="33"/>
      <c r="K62" s="33"/>
      <c r="L62" s="15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</row>
    <row r="63" spans="1:66">
      <c r="A63" s="6">
        <f t="shared" si="11"/>
        <v>9</v>
      </c>
      <c r="B63" s="51"/>
      <c r="C63" s="51"/>
      <c r="D63" s="51"/>
      <c r="E63" s="7"/>
      <c r="F63" s="7"/>
      <c r="G63" s="7"/>
      <c r="H63" s="7"/>
      <c r="I63" s="7"/>
      <c r="J63" s="33"/>
      <c r="K63" s="33"/>
      <c r="L63" s="15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</row>
    <row r="64" spans="1:66">
      <c r="A64" s="6">
        <f t="shared" si="11"/>
        <v>10</v>
      </c>
      <c r="B64" s="51"/>
      <c r="C64" s="51"/>
      <c r="D64" s="51"/>
      <c r="E64" s="7"/>
      <c r="F64" s="7"/>
      <c r="G64" s="7"/>
      <c r="H64" s="7"/>
      <c r="I64" s="7"/>
      <c r="J64" s="33"/>
      <c r="K64" s="33"/>
      <c r="L64" s="15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</row>
    <row r="65" spans="1:66">
      <c r="A65" s="6">
        <f t="shared" si="11"/>
        <v>11</v>
      </c>
      <c r="B65" s="51"/>
      <c r="C65" s="51"/>
      <c r="D65" s="51"/>
      <c r="E65" s="7"/>
      <c r="F65" s="7"/>
      <c r="G65" s="7"/>
      <c r="H65" s="7"/>
      <c r="I65" s="7"/>
      <c r="J65" s="33"/>
      <c r="K65" s="33"/>
      <c r="L65" s="15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</row>
    <row r="66" spans="1:66">
      <c r="A66" s="6">
        <f t="shared" si="11"/>
        <v>12</v>
      </c>
      <c r="B66" s="51"/>
      <c r="C66" s="51"/>
      <c r="D66" s="51"/>
      <c r="E66" s="7"/>
      <c r="F66" s="7"/>
      <c r="G66" s="7"/>
      <c r="H66" s="7"/>
      <c r="I66" s="7"/>
      <c r="J66" s="33"/>
      <c r="K66" s="33"/>
      <c r="L66" s="15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</row>
    <row r="67" spans="1:66">
      <c r="A67" s="6">
        <f t="shared" si="11"/>
        <v>13</v>
      </c>
      <c r="B67" s="51"/>
      <c r="C67" s="51"/>
      <c r="D67" s="51"/>
      <c r="E67" s="7"/>
      <c r="F67" s="7"/>
      <c r="G67" s="7"/>
      <c r="H67" s="7"/>
      <c r="I67" s="7"/>
      <c r="J67" s="33"/>
      <c r="K67" s="33"/>
      <c r="L67" s="15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</row>
    <row r="68" spans="1:66">
      <c r="A68" s="6">
        <f t="shared" si="11"/>
        <v>14</v>
      </c>
      <c r="B68" s="51"/>
      <c r="C68" s="51"/>
      <c r="D68" s="51"/>
      <c r="E68" s="7"/>
      <c r="F68" s="7"/>
      <c r="G68" s="7"/>
      <c r="H68" s="7"/>
      <c r="I68" s="7"/>
      <c r="J68" s="33"/>
      <c r="K68" s="33"/>
      <c r="L68" s="15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</row>
    <row r="69" spans="1:66">
      <c r="A69" s="6">
        <f t="shared" si="11"/>
        <v>15</v>
      </c>
      <c r="B69" s="51"/>
      <c r="C69" s="51"/>
      <c r="D69" s="51"/>
      <c r="E69" s="7"/>
      <c r="F69" s="7"/>
      <c r="G69" s="7"/>
      <c r="H69" s="7"/>
      <c r="I69" s="7"/>
      <c r="J69" s="33"/>
      <c r="K69" s="33"/>
      <c r="L69" s="15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</row>
    <row r="70" spans="1:66">
      <c r="A70" s="6">
        <f t="shared" si="11"/>
        <v>16</v>
      </c>
      <c r="B70" s="51"/>
      <c r="C70" s="51"/>
      <c r="D70" s="51"/>
      <c r="E70" s="7"/>
      <c r="F70" s="7"/>
      <c r="G70" s="7"/>
      <c r="H70" s="7"/>
      <c r="I70" s="7"/>
      <c r="J70" s="33"/>
      <c r="K70" s="33"/>
      <c r="L70" s="15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</row>
    <row r="71" spans="1:66">
      <c r="A71" s="6">
        <f t="shared" si="11"/>
        <v>17</v>
      </c>
      <c r="B71" s="51"/>
      <c r="C71" s="51"/>
      <c r="D71" s="51"/>
      <c r="E71" s="7"/>
      <c r="F71" s="7"/>
      <c r="G71" s="7"/>
      <c r="H71" s="7"/>
      <c r="I71" s="7"/>
      <c r="J71" s="33"/>
      <c r="K71" s="33"/>
      <c r="L71" s="15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</row>
    <row r="72" spans="1:66">
      <c r="A72" s="6">
        <f t="shared" si="11"/>
        <v>18</v>
      </c>
      <c r="B72" s="51"/>
      <c r="C72" s="51"/>
      <c r="D72" s="51"/>
      <c r="E72" s="7"/>
      <c r="F72" s="7"/>
      <c r="G72" s="7"/>
      <c r="H72" s="7"/>
      <c r="I72" s="7"/>
      <c r="J72" s="33"/>
      <c r="K72" s="33"/>
      <c r="L72" s="15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</row>
    <row r="73" spans="1:66">
      <c r="A73" s="6">
        <f t="shared" si="11"/>
        <v>19</v>
      </c>
      <c r="B73" s="51"/>
      <c r="C73" s="51"/>
      <c r="D73" s="51"/>
      <c r="E73" s="7"/>
      <c r="F73" s="7"/>
      <c r="G73" s="7"/>
      <c r="H73" s="7"/>
      <c r="I73" s="7"/>
      <c r="J73" s="33"/>
      <c r="K73" s="33"/>
      <c r="L73" s="15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</row>
    <row r="74" spans="1:66">
      <c r="A74" s="6">
        <f t="shared" si="11"/>
        <v>20</v>
      </c>
      <c r="B74" s="51"/>
      <c r="C74" s="51"/>
      <c r="D74" s="51"/>
      <c r="E74" s="7"/>
      <c r="F74" s="7"/>
      <c r="G74" s="7"/>
      <c r="H74" s="7"/>
      <c r="I74" s="7"/>
      <c r="J74" s="33"/>
      <c r="K74" s="33"/>
      <c r="L74" s="15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</row>
    <row r="75" spans="1:66">
      <c r="A75" s="6">
        <f t="shared" si="11"/>
        <v>21</v>
      </c>
      <c r="B75" s="51"/>
      <c r="C75" s="51"/>
      <c r="D75" s="51"/>
      <c r="E75" s="7"/>
      <c r="F75" s="7"/>
      <c r="G75" s="7"/>
      <c r="H75" s="7"/>
      <c r="I75" s="7"/>
      <c r="J75" s="33"/>
      <c r="K75" s="33"/>
      <c r="L75" s="15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</row>
    <row r="76" spans="1:66">
      <c r="A76" s="6">
        <f t="shared" si="11"/>
        <v>22</v>
      </c>
      <c r="B76" s="51"/>
      <c r="C76" s="51"/>
      <c r="D76" s="51"/>
      <c r="E76" s="7"/>
      <c r="F76" s="7"/>
      <c r="G76" s="7"/>
      <c r="H76" s="7"/>
      <c r="I76" s="7"/>
      <c r="J76" s="33"/>
      <c r="K76" s="33"/>
      <c r="L76" s="15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</row>
    <row r="77" spans="1:66">
      <c r="A77" s="6">
        <f t="shared" si="11"/>
        <v>23</v>
      </c>
      <c r="B77" s="51"/>
      <c r="C77" s="51"/>
      <c r="D77" s="51"/>
      <c r="E77" s="7"/>
      <c r="F77" s="7"/>
      <c r="G77" s="7"/>
      <c r="H77" s="7"/>
      <c r="I77" s="7"/>
      <c r="J77" s="33"/>
      <c r="K77" s="33"/>
      <c r="L77" s="15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</row>
    <row r="78" spans="1:66">
      <c r="A78" s="6">
        <f t="shared" si="11"/>
        <v>24</v>
      </c>
      <c r="B78" s="51"/>
      <c r="C78" s="51"/>
      <c r="D78" s="51"/>
      <c r="E78" s="7"/>
      <c r="F78" s="7"/>
      <c r="G78" s="7"/>
      <c r="H78" s="7"/>
      <c r="I78" s="7"/>
      <c r="J78" s="33"/>
      <c r="K78" s="33"/>
      <c r="L78" s="15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</row>
    <row r="79" spans="1:66">
      <c r="A79" s="6">
        <f t="shared" si="11"/>
        <v>25</v>
      </c>
      <c r="B79" s="51"/>
      <c r="C79" s="51"/>
      <c r="D79" s="51"/>
      <c r="E79" s="7"/>
      <c r="F79" s="7"/>
      <c r="G79" s="7"/>
      <c r="H79" s="7"/>
      <c r="I79" s="7"/>
      <c r="J79" s="33"/>
      <c r="K79" s="33"/>
      <c r="L79" s="15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</row>
    <row r="80" spans="1:66">
      <c r="A80" s="14"/>
      <c r="B80" s="14"/>
      <c r="C80" s="14"/>
      <c r="D80" s="11" t="s">
        <v>90</v>
      </c>
      <c r="E80" s="10">
        <f>SUM(E55:E79)</f>
        <v>0</v>
      </c>
      <c r="F80" s="10">
        <f t="shared" ref="F80:L80" si="16">SUM(F55:F79)</f>
        <v>0</v>
      </c>
      <c r="G80" s="10">
        <f t="shared" si="16"/>
        <v>0</v>
      </c>
      <c r="H80" s="10">
        <f t="shared" si="16"/>
        <v>0</v>
      </c>
      <c r="I80" s="10">
        <f t="shared" si="16"/>
        <v>0</v>
      </c>
      <c r="J80" s="10">
        <f t="shared" si="16"/>
        <v>0</v>
      </c>
      <c r="K80" s="10">
        <f t="shared" si="16"/>
        <v>0</v>
      </c>
      <c r="L80" s="10">
        <f t="shared" si="16"/>
        <v>0</v>
      </c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</row>
    <row r="81" spans="1:56">
      <c r="A81" s="3" t="s">
        <v>98</v>
      </c>
      <c r="B81" s="3" t="s">
        <v>116</v>
      </c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</row>
    <row r="82" spans="1:56">
      <c r="A82" s="3" t="s">
        <v>99</v>
      </c>
      <c r="B82" s="3" t="s">
        <v>117</v>
      </c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</row>
    <row r="83" spans="1:56">
      <c r="A83" s="3" t="s">
        <v>100</v>
      </c>
      <c r="B83" s="3" t="s">
        <v>118</v>
      </c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</row>
    <row r="84" spans="1:56">
      <c r="A84" s="3" t="s">
        <v>60</v>
      </c>
      <c r="B84" s="3" t="s">
        <v>119</v>
      </c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</row>
    <row r="85" spans="1:56">
      <c r="A85" s="3" t="s">
        <v>101</v>
      </c>
      <c r="B85" s="3" t="s">
        <v>120</v>
      </c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</row>
    <row r="86" spans="1:56">
      <c r="A86" s="3" t="s">
        <v>102</v>
      </c>
      <c r="B86" s="3" t="s">
        <v>121</v>
      </c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</row>
    <row r="87" spans="1:56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</row>
  </sheetData>
  <mergeCells count="5">
    <mergeCell ref="A2:C2"/>
    <mergeCell ref="A4:C4"/>
    <mergeCell ref="A6:B6"/>
    <mergeCell ref="A8:B8"/>
    <mergeCell ref="I13:J14"/>
  </mergeCells>
  <printOptions horizontalCentered="1"/>
  <pageMargins left="0.19685039370078741" right="0.19685039370078741" top="0.98425196850393704" bottom="0.23622047244094491" header="0.31496062992125984" footer="0.31496062992125984"/>
  <pageSetup paperSize="5" scale="63" orientation="landscape" r:id="rId1"/>
  <headerFooter>
    <oddHeader>&amp;C&amp;"Times New Roman,Bold"Government of Guam
Fiscal Year 2025, Quarter 4
Agency Staffing Pattern</oddHeader>
  </headerFooter>
  <rowBreaks count="1" manualBreakCount="1">
    <brk id="4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Gov Guam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Gov Guam</dc:creator>
  <cp:keywords/>
  <dc:description/>
  <cp:lastModifiedBy>Caitlin Erin C. Moreno</cp:lastModifiedBy>
  <cp:revision/>
  <dcterms:created xsi:type="dcterms:W3CDTF">2000-07-08T01:37:33Z</dcterms:created>
  <dcterms:modified xsi:type="dcterms:W3CDTF">2025-10-28T01:01:14Z</dcterms:modified>
  <cp:category/>
  <cp:contentStatus/>
</cp:coreProperties>
</file>